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115" windowHeight="6915" tabRatio="757" activeTab="2"/>
  </bookViews>
  <sheets>
    <sheet name="DESONERADA18X10F" sheetId="1" r:id="rId1"/>
    <sheet name="NÃO DESONERADA 18X10F" sheetId="2" r:id="rId2"/>
    <sheet name="NÃO DESONERADA resumida" sheetId="3" r:id="rId3"/>
    <sheet name="Cronograma " sheetId="4" r:id="rId4"/>
  </sheets>
  <externalReferences>
    <externalReference r:id="rId7"/>
  </externalReferences>
  <definedNames>
    <definedName name="EXTRACT" localSheetId="3">'Cronograma '!#REF!</definedName>
    <definedName name="_xlnm.Print_Area" localSheetId="3">'Cronograma '!$A$1:$I$25</definedName>
    <definedName name="_xlnm.Print_Area" localSheetId="0">'DESONERADA18X10F'!$A$1:$I$349</definedName>
    <definedName name="_xlnm.Print_Area" localSheetId="1">'NÃO DESONERADA 18X10F'!$A$1:$I$350</definedName>
    <definedName name="_xlnm.Print_Area" localSheetId="2">'NÃO DESONERADA resumida'!$A$1:$I$72</definedName>
    <definedName name="BDI" localSheetId="3">#REF!</definedName>
    <definedName name="BDI" localSheetId="0">#REF!</definedName>
    <definedName name="BDI" localSheetId="1">#REF!</definedName>
    <definedName name="BDI" localSheetId="2">#REF!</definedName>
    <definedName name="BDI">#REF!</definedName>
    <definedName name="CRITERIA" localSheetId="3">'Cronograma '!#REF!</definedName>
    <definedName name="_xlnm.Print_Titles" localSheetId="3">'Cronograma '!$10:$12</definedName>
    <definedName name="_xlnm.Print_Titles" localSheetId="0">'DESONERADA18X10F'!$9:$11</definedName>
    <definedName name="_xlnm.Print_Titles" localSheetId="1">'NÃO DESONERADA 18X10F'!$9:$11</definedName>
    <definedName name="_xlnm.Print_Titles" localSheetId="2">'NÃO DESONERADA resumida'!$9:$11</definedName>
  </definedNames>
  <calcPr fullCalcOnLoad="1"/>
</workbook>
</file>

<file path=xl/sharedStrings.xml><?xml version="1.0" encoding="utf-8"?>
<sst xmlns="http://schemas.openxmlformats.org/spreadsheetml/2006/main" count="2221" uniqueCount="700">
  <si>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</si>
  <si>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</si>
  <si>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</si>
  <si>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</si>
  <si>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</si>
  <si>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</si>
  <si>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</si>
  <si>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</si>
  <si>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</si>
  <si>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</si>
  <si>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</si>
  <si>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1.4</t>
  </si>
  <si>
    <t>UN</t>
  </si>
  <si>
    <t>4.1</t>
  </si>
  <si>
    <t>4.2</t>
  </si>
  <si>
    <t>4.3</t>
  </si>
  <si>
    <t>PAR</t>
  </si>
  <si>
    <t>05332</t>
  </si>
  <si>
    <t>1.0</t>
  </si>
  <si>
    <t>SERVIÇOS PRELIMINARES</t>
  </si>
  <si>
    <t>2.0</t>
  </si>
  <si>
    <t>3.0</t>
  </si>
  <si>
    <t>4.0</t>
  </si>
  <si>
    <t>5.0</t>
  </si>
  <si>
    <t>6.0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</si>
  <si>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</si>
  <si>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</si>
  <si>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</si>
  <si>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</si>
  <si>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</si>
  <si>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</si>
  <si>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</si>
  <si>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</si>
  <si>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</si>
  <si>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</si>
  <si>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</si>
  <si>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</si>
  <si>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</si>
  <si>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</si>
  <si>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</si>
  <si>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</si>
  <si>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</si>
  <si>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TRANSPORTE E BOTA-FORA</t>
  </si>
  <si>
    <t>TOTAL DA OBRA POR MEDIÇÃO</t>
  </si>
  <si>
    <t>TOTAL ACUMULADO DA OBRA</t>
  </si>
  <si>
    <t>Desembolso parcial por medição %</t>
  </si>
  <si>
    <t>Desembolso máximo acumulado %</t>
  </si>
  <si>
    <t>T</t>
  </si>
  <si>
    <t>GL</t>
  </si>
  <si>
    <t>00124</t>
  </si>
  <si>
    <t>ESTRUTURA DE CONCRETO ARMADO</t>
  </si>
  <si>
    <t>CHP</t>
  </si>
  <si>
    <t>x</t>
  </si>
  <si>
    <t>2.1</t>
  </si>
  <si>
    <t>3.1</t>
  </si>
  <si>
    <t>TOTAL 3.0</t>
  </si>
  <si>
    <t>TOTAL 1.0</t>
  </si>
  <si>
    <t>TOTAL 4.0</t>
  </si>
  <si>
    <t>07425</t>
  </si>
  <si>
    <t>00840</t>
  </si>
  <si>
    <t>05331</t>
  </si>
  <si>
    <t>TOTAL 7.0</t>
  </si>
  <si>
    <t>TOTAL 9.0</t>
  </si>
  <si>
    <t>TXKM</t>
  </si>
  <si>
    <t>TOTAL GERAL=</t>
  </si>
  <si>
    <t>APROVAÇÃO: Eng. Eros dos Santos</t>
  </si>
  <si>
    <t>CÓDIGO</t>
  </si>
  <si>
    <t>Alambrado / esquadrias</t>
  </si>
  <si>
    <t>Pintura</t>
  </si>
  <si>
    <t>Mobiliário</t>
  </si>
  <si>
    <t>Transporte e bota-fora</t>
  </si>
  <si>
    <t>PREGO COM OU SEM CABECA, EM CAIXAS DE 50KG, OU QUANTIDADES EQUIVALENTES, N§12X12A 18X30</t>
  </si>
  <si>
    <t>20132</t>
  </si>
  <si>
    <t>MAO-DE-OBRA DE SERVENTE DA CONSTRUCAO CIVIL, INCLUSIVE ENCARGOS SOCIAIS DESONERADOS</t>
  </si>
  <si>
    <t>20118</t>
  </si>
  <si>
    <t>MAO-DE-OBRA DE PINTOR, INCLUSIVE ENCARGOS SOCIAIS DESONERADOS</t>
  </si>
  <si>
    <t>20045</t>
  </si>
  <si>
    <t>MAO-DE-OBRA DE CARPINTEIRO DE ESQUADRIASDE MADEIRA, INCLUSIVE ENCARGOS SOCIAISDESONERADOS</t>
  </si>
  <si>
    <t>CORDAO PARALELO COM ISOLAMENTO TERMOPLASTICO, ATE 750V, DE 2X2,5MM2</t>
  </si>
  <si>
    <t>DISJUNTOR MONOFASICO DE 250V, DE 010 A 030A</t>
  </si>
  <si>
    <t>PARAFUSO C/ROSCA, DE (8x100)MM</t>
  </si>
  <si>
    <t>VIDRO PLANO TRANSPARENTE, COMUM, COM ESPESSURA DE 3MM</t>
  </si>
  <si>
    <t>INTERRUPTOR DE SOBREPOR SIMPLES, DE 10A-250V</t>
  </si>
  <si>
    <t>20060</t>
  </si>
  <si>
    <t>MAO-DE-OBRA DE ELETRICISTA DA CONSTRUCAOCIVIL, INCLUSIVE ENCARGOS SOCIAIS DESONERADOS</t>
  </si>
  <si>
    <t>20131</t>
  </si>
  <si>
    <t>MAO-DE-OBRA DE SERRALHEIRO DA CONSTRUCAOCIVIL, INCLUSIVE ENCARGOS SOCIAIS DESONERADOS</t>
  </si>
  <si>
    <t>20115</t>
  </si>
  <si>
    <t>MAO-DE-OBRA DE PEDREIRO, INCLUSIVE ENCARGOS SOCIAIS DESONERADOS</t>
  </si>
  <si>
    <t>MAO-DE-OBRA DE CARPINTEIRO DE FORMA DE CONCRETO, INCLUSIVE ENCARGOS SOCIAIS DESONERADOS</t>
  </si>
  <si>
    <t>19.007.0013-E VIBRADOR IMERSAO ELETR. 2CV (CI)</t>
  </si>
  <si>
    <t>19.007.0013-C VIBRADOR IMERSAO ELETR. 2CV (CP)</t>
  </si>
  <si>
    <t>09.015.0074-A</t>
  </si>
  <si>
    <t>17.017.0350-A</t>
  </si>
  <si>
    <t>PRIMER EPOXI,ISOCIANATO DE 2 COMPONENTES</t>
  </si>
  <si>
    <t>DETERGENTE NEUTRO P/LIMPEZA INDUSTRIAL,EM SACO DE 25KG</t>
  </si>
  <si>
    <t>ESMALTE SINTETICO ALQUIDICO ALTO BRILHO,BRILHANTE, ACETINADO OU FOSCO</t>
  </si>
  <si>
    <t>18.200.0004-A</t>
  </si>
  <si>
    <t>TRAVE DESMONTAVEL PARA FUTEBOL DE SALAO,EM TUBO DE FERRO GALVANIZADO E BUCHAS.FORNECIMENTO</t>
  </si>
  <si>
    <t>POSTES P/FUTEBOL DE SALAO, EM TUBOS DE FRRO GALVANIZADO E BUCHAS - (PAR)</t>
  </si>
  <si>
    <t>18.200.0005-A</t>
  </si>
  <si>
    <t>REDE DE NYLON PARA FUTEBOL DE SALAO.FORNECIMENTO</t>
  </si>
  <si>
    <t>REDE DE NYLON, P/FUTEBOL DE SALAO- (PAR)</t>
  </si>
  <si>
    <t>ALAMBRADO/ESQUADRIAS</t>
  </si>
  <si>
    <t>MOBILIÁRIO</t>
  </si>
  <si>
    <r>
      <t>Secretaria Municipal de Planejamento Urbano</t>
    </r>
    <r>
      <rPr>
        <sz val="20"/>
        <rFont val="Arial"/>
        <family val="2"/>
      </rPr>
      <t xml:space="preserve"> </t>
    </r>
  </si>
  <si>
    <t>ORÇAMENTO Nº 001-19</t>
  </si>
  <si>
    <t>02.020.0002-A</t>
  </si>
  <si>
    <t>PLACA DE IDENTIFICACAO DE OBRA PUBLICA,TIPO BANNER/PLOTTER,CONSTITUIDA POR LONA E IMPRESSAO DIGITAL,INCLUSIVE SUPORTES D E MADEIRA.FORNECIMENTO E COLOCACAO (OBS.:3% - DESGASTE DE FERRAMENTAS E EPI).</t>
  </si>
  <si>
    <t>10806</t>
  </si>
  <si>
    <t>PLACA DE IDENTIFICACAO DE OBRA PUBLICA,TIPO BANNER/PLOTER, CONSTITUIDA POR LONAE IMPRESSAO DIGITAL</t>
  </si>
  <si>
    <t>UNIT s/ BDI</t>
  </si>
  <si>
    <t>UNITc/ BDI</t>
  </si>
  <si>
    <t>TOTAL s/ BDI</t>
  </si>
  <si>
    <t>TOTAL c/ BDI</t>
  </si>
  <si>
    <t>19.006.0002-C ROLO COMPACT. 5 A 10T 58,5CV (CP)</t>
  </si>
  <si>
    <t>19.006.0002-E ROLO COMPACT. 5 A 10T 58,5CV (CI)</t>
  </si>
  <si>
    <t>13.373.0020-A</t>
  </si>
  <si>
    <t>BRITA 3, PARA REGIAO METROPOLITANA DO RIO DE JANEIRO</t>
  </si>
  <si>
    <t>19.006.0030-C SOQUETE VIBRATORIO 78KG; 2,5CV (CP)</t>
  </si>
  <si>
    <t>19.006.0030-E SOQUETE VIBRATORIO 78KG; 2,5CV (CI)</t>
  </si>
  <si>
    <t>19.007.0016-C REGUA VIBRADORA DUPLA 3,4CV (CP)</t>
  </si>
  <si>
    <t>19.007.0016-E REGUA VIBRADORA DUPLA 3,4CV (CI)</t>
  </si>
  <si>
    <t>17.040.0021-A</t>
  </si>
  <si>
    <t>TINTA ACRILICA PARA PISO</t>
  </si>
  <si>
    <t>FITA CREPE, EM ROLO DE 25MMX50,00M</t>
  </si>
  <si>
    <t>MAO-DE-OBRA DE AUXILIAR DE TOPOGRAFIA, INCLUSIVE ENCARGOS SOCIAIS DESONERADOS</t>
  </si>
  <si>
    <t>MAO-DE-OBRA DE TOPOGRAFO A (SERVICO DE CAMPO E ESCRIT.COM RESPONSAB. DIRIGI-LOS), INCLUSIVE ENCARGOS SOCIAIS DESONERADOS</t>
  </si>
  <si>
    <t>19.011.0019-C TEODOLITO ELETRONICO COM PRECISAO DE 9S(CP)</t>
  </si>
  <si>
    <t>19.011.0019-E TEODOLITO ELETRONICO COM PRECISAO DE 9S(CI)</t>
  </si>
  <si>
    <t>17.040.0024-A</t>
  </si>
  <si>
    <t>LIXA D'AGUA N§ 100</t>
  </si>
  <si>
    <t>So07696</t>
  </si>
  <si>
    <t>TUBO ACO GALVANIZADO COM COSTURA, CLASSE MEDIA, DN 2", E = *3,65* MM, PESO *5,10* KG/M (NBR 5580)</t>
  </si>
  <si>
    <t>So00335</t>
  </si>
  <si>
    <t>ARAME GALVANIZADO 10 BWG, 3,40 MM (0,0713 KG/M)</t>
  </si>
  <si>
    <t>So00333</t>
  </si>
  <si>
    <t>ARAME GALVANIZADO 14 BWG, D = 2,11 MM (0,026 KG/M)</t>
  </si>
  <si>
    <t>So000088316</t>
  </si>
  <si>
    <t>SERVENTE COM ENCARGOS COMPLEMENTARES</t>
  </si>
  <si>
    <t>So000088315</t>
  </si>
  <si>
    <t>SERRALHEIRO COM ENCARGOS COMPLEMENTARES</t>
  </si>
  <si>
    <t>So07158</t>
  </si>
  <si>
    <t>TELA DE ARAME GALV QUADRANGULAR / LOSANGULAR,  FIO 2,77 MM (12 BWG), MALHA  5 X 5 CM, H = 2 M</t>
  </si>
  <si>
    <t>02.004.0001-A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</si>
  <si>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</si>
  <si>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02884</t>
  </si>
  <si>
    <t>FECHADURA DE SOBREPOR, TIPO CAIXAO, RETANGULAR, ACABAMENTO FERRO RESINADO PRETO,DE (100X86X38)MM</t>
  </si>
  <si>
    <t>00510</t>
  </si>
  <si>
    <t>RECEPTACULO DE PORCELANA P/LAMPADA INCANDESCENTE, BASE E-27</t>
  </si>
  <si>
    <t>00600</t>
  </si>
  <si>
    <t>02315</t>
  </si>
  <si>
    <t>02316</t>
  </si>
  <si>
    <t>00252</t>
  </si>
  <si>
    <t>02472</t>
  </si>
  <si>
    <t>04915</t>
  </si>
  <si>
    <t>05914</t>
  </si>
  <si>
    <t>08000</t>
  </si>
  <si>
    <t>TELHA ONDULADA DE CIMENTO, SEM AMIANTO,REFORCADA C/FIOS SINTETICOS (CRFS), DE (2,44X1,10)M E C/ESPES. DE 6MM</t>
  </si>
  <si>
    <t>02317</t>
  </si>
  <si>
    <t>FITA ISOLANTE, ROLO DE 19MMX20M</t>
  </si>
  <si>
    <t>31011</t>
  </si>
  <si>
    <t>01.005.0003-A</t>
  </si>
  <si>
    <t>PREPARO MANUAL DE TERRENO,COMPREENDENDO ACERTO,RASPAGEM EVENTUALMENTE ATE 0.30M DE PROFUNDIDADE E AFASTAMENTO LATERAL DO MATERIAL EXCEDENTE,INCLUSIVE COMPACTACAO MECANICA (OBS.:3% - DESGASTE DE FERRAMENTAS E EPI).</t>
  </si>
  <si>
    <t>30627</t>
  </si>
  <si>
    <t>30625</t>
  </si>
  <si>
    <t>14559</t>
  </si>
  <si>
    <t>07246</t>
  </si>
  <si>
    <t>TELA P/ESTRUTURA DE CONCRETO ARMADO, FORMADA POR FIOS DE ACO CA-60, DIAM.4,2MM EESPACAMENTO ENTRE ELES DE (15X15)CM</t>
  </si>
  <si>
    <t>04900</t>
  </si>
  <si>
    <t>PLASTICO NA COR PRETA, COM ESPESSURA DE0,15MM</t>
  </si>
  <si>
    <t>20046</t>
  </si>
  <si>
    <t>20015</t>
  </si>
  <si>
    <t>MAO-DE-OBRA DE ARMADOR DE CONCRETO ARMADO, INCLUSIVE ENCARGOS SOCIAIS DESONERADOS</t>
  </si>
  <si>
    <t>30735</t>
  </si>
  <si>
    <t>30734</t>
  </si>
  <si>
    <t>30731</t>
  </si>
  <si>
    <t>30730</t>
  </si>
  <si>
    <t>30694</t>
  </si>
  <si>
    <t>30693</t>
  </si>
  <si>
    <t>00173</t>
  </si>
  <si>
    <t>PINTURA INTERNA OU EXTERNA SOBRE FERRO GALVANIZADO OU ALUMINIO,USANDO FUNDO PARA GALVANIZADO,INCLUSIVE LIXAMENTO LEVE,LI MPEZA,DESENGORDURAMENTO E DUAS DEMAOS DE ACABAMENTO COM ESMALTE SINTETICO BRILHANTE OU ACETINADO (OBS.:3%-DESGASTE DE FERRAMENTAS E EPI).</t>
  </si>
  <si>
    <t>PINTURA DE PISO CIMENTADO LISO COM TINTA 100% ACRILICA,INCLUSIVE LIXAMENTO,LIMPEZA E TRES DEMAOS DE ACABAMENTO APLICADAS A ROLO DE LA,DILUICAO EM AGUA A 20% (OBS.:3%-DESGASTE DE FERRAMENTAS E EPI).</t>
  </si>
  <si>
    <t>06011</t>
  </si>
  <si>
    <t>02385</t>
  </si>
  <si>
    <t>MARCACAO DE QUADRA DE ESPORTE OU VAGA DE GARAGEM COM TINTA ACRILICA PROPRIA PARA PINTURA DE PISOS,COM UTILIZACAO DE SELA DOR E SOLVENTE PROPRIO E FITA CREPE COMO LIMITADOR DE LINHAS,MEDIDA PELA AREA REAL DE PINTURA (OBS.:3%-DESGASTE DE FERRAMENTAS E EPI).</t>
  </si>
  <si>
    <t>06029</t>
  </si>
  <si>
    <t>20149</t>
  </si>
  <si>
    <t>20032</t>
  </si>
  <si>
    <t>30849</t>
  </si>
  <si>
    <t>30848</t>
  </si>
  <si>
    <t>TOTAL 2.0</t>
  </si>
  <si>
    <t>3.2</t>
  </si>
  <si>
    <t>5.1</t>
  </si>
  <si>
    <t>5.2</t>
  </si>
  <si>
    <t>PROJETO: Eng° Patrick Suckow</t>
  </si>
  <si>
    <t>LEVANTAMENTO: Eng° Patrick Suckow</t>
  </si>
  <si>
    <t xml:space="preserve">ORÇAMENTO: </t>
  </si>
  <si>
    <t>02.002.0007-A</t>
  </si>
  <si>
    <t>TAPUME DE VEDACAO OU PROTECAO EXECUTADO COM TELHAS TRAPEZOIDAIS DE ACO GALVANIZADO,ESPESSURA DE 0,5MM,ESTAS COM 4 VEZES DE UTILIZACAO,INCLUSIVE ENGRADAMENTO DE MADEIRA,UTILIZADO 2VEZES,EXCLUSIVE PINTURA (OBS.:3% - DESGASTE DE FERRAMENTAS E EPI).</t>
  </si>
  <si>
    <t>13732</t>
  </si>
  <si>
    <t>TELHA TRAPEZOIDAL EM ACO GALVANIZADO, ESPESSURA DE 0,5MM</t>
  </si>
  <si>
    <t>SI000072850</t>
  </si>
  <si>
    <t>CARGA, MANOBRAS E DESCARGA DE MATERIAIS DIVERSOS, COM CAMINHAO CARROCERIA 9T (CARGA E DESCARGA MANUAIS)</t>
  </si>
  <si>
    <t>SI000005824</t>
  </si>
  <si>
    <t>SI000005824 CAMINHÃO TOCO, PBT 16.000 KG, CARGA ÚTIL MÁX. 10.685 KG, DIST. ENTRE EIXOS 4,8 M, POTÊNCIA 189 CV, INCLUSIVE CARROCERIA FIXA ABERTA DE MADEIRA P/ TRANSPORTE GERAL DE CARGA SECA, DIMEN. APROX. 2,5 X 7,00 X 0,50 M - CHP DIURNO. AF_06/2014</t>
  </si>
  <si>
    <t>SI000072840</t>
  </si>
  <si>
    <t>TRANSPORTE COMERCIAL COM CAMINHAO CARROCERIA 9 T, RODOVIA PAVIMENTADA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</si>
  <si>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</si>
  <si>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</si>
  <si>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</si>
  <si>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</si>
  <si>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</si>
  <si>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02.002.0007-0</t>
  </si>
  <si>
    <t>02.004.0001-0</t>
  </si>
  <si>
    <t>01983</t>
  </si>
  <si>
    <t>MAO-DE-OBRA DE ELETRICISTA DE CONSTRUCAOCIVIL, INCLUSIVE ENCARGOS SOCIAIS</t>
  </si>
  <si>
    <t>00365</t>
  </si>
  <si>
    <t>01.005.0003-0</t>
  </si>
  <si>
    <t>01018</t>
  </si>
  <si>
    <t>19.006.0002-4 ROLO COMPACT. 6 A 9T, MOTOR DIESEL 55CV,INCLUSIVE OPERADOR (CI)</t>
  </si>
  <si>
    <t>01016</t>
  </si>
  <si>
    <t>19.006.0002-2 ROLO COMPACT. 6 A 9T, MOTOR DIESEL 55CV,INCLUSIVE OPERADOR (CP)</t>
  </si>
  <si>
    <t>13.373.0020-0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</si>
  <si>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</si>
  <si>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</si>
  <si>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</si>
  <si>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</si>
  <si>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01968</t>
  </si>
  <si>
    <t>MAO-DE-OBRA DE PEDREIRO, INCLUSIVE ENCARGOS SOCIAIS</t>
  </si>
  <si>
    <t>02176</t>
  </si>
  <si>
    <t>19.006.0030-4 SOQUETE VIBRATORIO 78KG; 2,5CV (CI)</t>
  </si>
  <si>
    <t>02175</t>
  </si>
  <si>
    <t>19.006.0030-2 SOQUETE VIBRATORIO 78KG; 2,5CV (CP)</t>
  </si>
  <si>
    <t>02018</t>
  </si>
  <si>
    <t>19.007.0016-4 REGUA VIBRADORA DUPLA 3,4CV (CI)</t>
  </si>
  <si>
    <t>02017</t>
  </si>
  <si>
    <t>19.007.0016-2 REGUA VIBRADORA DUPLA 3,4CV (CP)</t>
  </si>
  <si>
    <t>01158</t>
  </si>
  <si>
    <t>19.007.0013-4 VIBRADOR IMERSAO ELETR. 2CV (CI)</t>
  </si>
  <si>
    <t>01157</t>
  </si>
  <si>
    <t>19.007.0013-2 VIBRADOR IMERSAO ELETR. 2CV (CP)</t>
  </si>
  <si>
    <t>07696</t>
  </si>
  <si>
    <t>00335</t>
  </si>
  <si>
    <t>00333</t>
  </si>
  <si>
    <t>SI000088316</t>
  </si>
  <si>
    <t>SI000088315</t>
  </si>
  <si>
    <t>09.015.0074-0</t>
  </si>
  <si>
    <t>06913</t>
  </si>
  <si>
    <t>MAO-DE-OBRA DE SERRALHEIRO DA CONSTRUCAOCIVIL, INCLUSIVE ENCARGOS SOCIAIS</t>
  </si>
  <si>
    <t>17.017.0350-0</t>
  </si>
  <si>
    <t>01966</t>
  </si>
  <si>
    <t>MAO-DE-OBRA DE PINTOR, INCLUSIVE ENCARGOS SOCIAIS</t>
  </si>
  <si>
    <t>17.040.0024-0</t>
  </si>
  <si>
    <t>17.040.0021-0</t>
  </si>
  <si>
    <t>01995</t>
  </si>
  <si>
    <t>MAO-DE-OBRA DE AUXILIAR DE TOPOGRAFIA, INCLUSIVE ENCARGOS SOCIAIS</t>
  </si>
  <si>
    <t>01950</t>
  </si>
  <si>
    <t>MAO-DE-OBRA DE TOPOGRAFO A (SERVICOS DECAMPO E ESCRITORIO, COM RESPONSABILIDADEDE DIRIGI-LOS),INCLUSIVE ENCARGOS SOCIAI</t>
  </si>
  <si>
    <t>01859</t>
  </si>
  <si>
    <t>19.011.0019-4 TEODOLITO ELETRONICO COM PRECISAO DE 9S(CI)</t>
  </si>
  <si>
    <t>01858</t>
  </si>
  <si>
    <t>19.011.0019-2 TEODOLITO ELETRONICO COM PRECISAO DE 9S(CP)</t>
  </si>
  <si>
    <t>18.200.0004-0</t>
  </si>
  <si>
    <t>18.200.0005-0</t>
  </si>
  <si>
    <t>6.1</t>
  </si>
  <si>
    <t>6.2</t>
  </si>
  <si>
    <t>So000072850</t>
  </si>
  <si>
    <t>So000005824</t>
  </si>
  <si>
    <t>So000005824 CAMINHÃO TOCO, PBT 16.000 KG, CARGA ÚTIL MÁX. 10.685 KG, DIST. ENTRE EIXOS 4,8 M, POTÊNCIA 189 CV, INCLUSIVE CARROCERIA FIXA ABERTA DE MADEIRA P/ TRANSPORTE GERAL DE CARGA SECA, DIMEN. APROX. 2,5 X 7,00 X 0,50 M - CHP DIURNO. AF_06/2014</t>
  </si>
  <si>
    <t>So000072840</t>
  </si>
  <si>
    <t>02247</t>
  </si>
  <si>
    <t>CONCRETO IMPORTADO DE USINA, UTILIZANDOBRITA 1, DE 30MPA</t>
  </si>
  <si>
    <t>07158</t>
  </si>
  <si>
    <t>Serviço : Construção de Quadra 18X10 COM ALAMBRADO FIXO</t>
  </si>
  <si>
    <t>1.5</t>
  </si>
  <si>
    <t>DATA:05/06/2019</t>
  </si>
  <si>
    <t>01970</t>
  </si>
  <si>
    <t>MAO-DE-OBRA DE OPERADOR DE MAQUINA (TRATOR, ETC), INCLUSIVE ENCARGOS SOCIAIS</t>
  </si>
  <si>
    <t>21.003.0080-A</t>
  </si>
  <si>
    <t>POSTE DE ACO,RETO,CONICO CONTINUO OU ESCALONADO,ALTURA DE 6,00M,SEM SAPATA.FORNECIMENTO</t>
  </si>
  <si>
    <t>11464</t>
  </si>
  <si>
    <t>POSTE DE ACO RETO, CONICO CONTINUO, COM6M, SEM SAPATA</t>
  </si>
  <si>
    <t>21.001.0160-A</t>
  </si>
  <si>
    <t>ASSENTAMENTO DE POSTE RETO,DE ACO DE 3,50 ATE 6,00M,COM FLANGE DE ACO SOLDADO NA SUA BASE,FIXADO POR PARAFUSOS CHUMBADOR ES ENGASTADOS EM FUNDACAO DE CONCRETO,EXCLUSIVE FUNDACAO EFORNECIMENTO DO POSTE (OBS.:3%-DESGASTE DE FERRAMENTAS E EPI).</t>
  </si>
  <si>
    <t>20005</t>
  </si>
  <si>
    <t>MAO-DE-OBRA DE AJUDANTE DE MONTADOR ELETROMECANICO (ILUMINACAO PUBLICA), INCLUSIVE ENCARGOS SOCIAIS DESONERADOS</t>
  </si>
  <si>
    <t>15.020.0055-A</t>
  </si>
  <si>
    <t>LAMPADA DE VAPOR DE MERCURIO,DE 400W.FORNECIMENTO E COLOCACAO (OBS.:3%-DESGASTE DE FERRAMENTAS E EPI).</t>
  </si>
  <si>
    <t>05635</t>
  </si>
  <si>
    <t>LAMPADA DE VAPOR DE MERCURIO, 400W, 220V, OVOIDE, BASE E40</t>
  </si>
  <si>
    <t>18.027.0095-A</t>
  </si>
  <si>
    <t>LUMINARIA FECHADA,PARA ILUMINACAO DE QUADRA DE ESPORTES,DEPOSITOS E GALPOES,NA FORMA CIRCULAR,CORPO E FLANGE FUNDIDOS EM ALUMINIO,REFLETOR REPUXADO EM CHAPA DE ALUMINIO,DIFUSOR DE VIDRO TEMPERADO,PARA LAMPADA:MISTA ATE 250W,VAPOR DE MERCURIO ,VAPOR DE SODIO OU VAPOR METALICO ATE 400W,EXCLUSIVE LAMPADAE REATOR.FORNECIMENTO E COLOCACAO (OBS.:3%-DESGASTE DE FERRAMENTAS E EPI).</t>
  </si>
  <si>
    <t>02229</t>
  </si>
  <si>
    <t>LUMINARIA FECHADA, P/ILUM.QUADRA ESPORTES, DEPOS.E GALPOES, FORMA CIRCULAR, CORPO E FLANGE, P/LAMP.500W,V.METAL.ATE 400W</t>
  </si>
  <si>
    <t>18.260.0070-A</t>
  </si>
  <si>
    <t>RELE FOTOELETRICO,PARA COMANDO DE ILUMINACAO EXTERNA,NA TENSAO DE 220V E CARGA MAXIMA DE 1.000W.FORNECIMENTO E COLOCACAO (OBS.:3%-DESGASTE DE FERRAMENTAS E EPI).</t>
  </si>
  <si>
    <t>07062</t>
  </si>
  <si>
    <t>RELE FOTOELETRICO, PARA LUMINARIA EXTERNA, DE 1000W-220V</t>
  </si>
  <si>
    <t>FIO DE COBRE COM ISOLAMENTO TERMOPLASTICO,ANTICHAMA,COMPREENDENDO:PREPARO,CORTE E ENFIACAO EM ELETRODUTOS,NA BITOLA DE 4 MM2,450/750V.FORNECIMENTO E COLOCACAO (OBS.:3%-DESGASTE DE FERRAMENTAS E EPI).</t>
  </si>
  <si>
    <t>15.008.0025-A</t>
  </si>
  <si>
    <t>00284</t>
  </si>
  <si>
    <t>FIO C/ISOLAMENTO TERMOPLASTICO ANTICHAMADE 750V, DE 04,0MM2</t>
  </si>
  <si>
    <t>15.011.0021-A</t>
  </si>
  <si>
    <t>ENTRADA DE ENERGIA INDIVIDUAL,PADRAO LIGHT,MEDICAO DIRETA,REDE AEREA,DEMANDA ATE 8KVA,INCLUSIVE CAIXA TRANSPARENTE PARA MEDICAO(CTM),E CAIXA DE DISJUNTOR MONOPOLAR(CDJ1)INTERNA E DEMAIS MATERIAIS NECESSARIOS,EXCLUSIVE POSTE,DISJUNTOR E FIOS DE ENTRADA E SAIDA (OBS.:3%-DESGASTE DE FERRAMENTAS E EPI).</t>
  </si>
  <si>
    <t>05265</t>
  </si>
  <si>
    <t>ARMACAO SECUNDARIA, COMPLETA, PARA 3 LINHAS</t>
  </si>
  <si>
    <t>00116</t>
  </si>
  <si>
    <t>BOX DE ALUMINIO CURVO, DE 3/4"</t>
  </si>
  <si>
    <t>00289</t>
  </si>
  <si>
    <t>CABO SOLIDO DE COBRE ELETROLITICO NU, TEMPERA MOLE, CLASSE 2, SECAO CIRCULAR DE10,0 A 500,0MM2</t>
  </si>
  <si>
    <t>02341</t>
  </si>
  <si>
    <t>ELETRODUTO DE PVC PRETO, RIGIDO ROSQUEAVEL, COM ROSCA EM AMBAS EXTREMIDADES, EMBARRAS DE 3 METROS, DE 3/4"</t>
  </si>
  <si>
    <t>02643</t>
  </si>
  <si>
    <t>LUVA DE PVC RIGIDO ROSQUEAVEL, PARA ELETRODUTO, DE 3/4"</t>
  </si>
  <si>
    <t>02961</t>
  </si>
  <si>
    <t>CURVA 90§ DE PVC RIGIDO, ROSQUEAVEL, PARA ELETRODUTO, DE 3/4"</t>
  </si>
  <si>
    <t>03968</t>
  </si>
  <si>
    <t>CINTA GALVANIZADA, COM PARAFUSOS, DE 4"</t>
  </si>
  <si>
    <t>00115</t>
  </si>
  <si>
    <t>BUCHA E ARRUELA DE ALUMINIO PARA ELETRODUTO, DE 3/4"</t>
  </si>
  <si>
    <t>04210</t>
  </si>
  <si>
    <t>ISOLADOR TIPO CARRETILHA, MARROM, DE (72X72)MM</t>
  </si>
  <si>
    <t>08019</t>
  </si>
  <si>
    <t>CONECTOR PARAFUSO FENDIDO, TIPO SPLIT BOLT, FABRICADO EM COBRE, PARA CABO DE 010MM2</t>
  </si>
  <si>
    <t>11922</t>
  </si>
  <si>
    <t>CAIXA TRANSPARENTE PARA MEDICAO DIRETA(CTM), PARA ENTRADA DE ENERGIA INDIVIDUAL, PADRAO LIGHT</t>
  </si>
  <si>
    <t>11923</t>
  </si>
  <si>
    <t>CAIXA DISJUSTOR MONOPOLAR (CDJ1) INTERNA, PARA ENTRADA DE ENERGIA INDIVIDUAL PADRAO LIGHT</t>
  </si>
  <si>
    <t>03977</t>
  </si>
  <si>
    <t>HASTE TERRA, TIPO CANTONEIRA GALVANIZADA, DE 2,00M</t>
  </si>
  <si>
    <t>30344</t>
  </si>
  <si>
    <t>12.003.0075-B ALVENARIA TIJ. FURADO 10X20X20CM</t>
  </si>
  <si>
    <t>30163</t>
  </si>
  <si>
    <t>07.002.0025-B ARGAMASSA CIM.,AREIA TRACO 1:3,PREPAROMECANICO</t>
  </si>
  <si>
    <t>15.007.0400-A</t>
  </si>
  <si>
    <t>QUADRO DE DISTRIBUICAO DE ENERGIA PARA DISJUNTORES TERMO-MAGNETICOS UNIPOLARES,DE SOBREPOR,COM PORTA E BARRAMENTOS DE FA SE,NEUTRO E TERRA,PARA INSTALACAO DE ATE 3 DISJUNTORES SEMDISPOSITIVO PARA CHAVE GERAL.FORNECIMENTO E COLOCACAO (OBS.:3%-DESGASTE DE FERRAMENTAS E EPI).</t>
  </si>
  <si>
    <t>11856</t>
  </si>
  <si>
    <t>QUADRO P/DISJUNTORES TERMO-MAGNET.UNIPOLARES, SOBREPOR, C/PORTA E BARRAMENTO NEUTRO, P/INST. 3 DISJ.S/DISP.P/CHAVE GERAL</t>
  </si>
  <si>
    <t>ARAME RECOZIDO 16 BWG, 1,60 MM (0,016 KG/M)</t>
  </si>
  <si>
    <t>ELETRICISTA COM ENCARGOS COMPLEMENTARES</t>
  </si>
  <si>
    <t>AUXILIAR DE ELETRICISTA COM ENCARGOS COMPLEMENTARES</t>
  </si>
  <si>
    <t>SI000088264</t>
  </si>
  <si>
    <t>SI000088247</t>
  </si>
  <si>
    <t>15.007.0209-A</t>
  </si>
  <si>
    <t>HASTE PARA ATERRAMENTO,DE COBRE DE 5/8"(16MM),COM 2,40M DE COMPRIMENTO.FORNECIMENTO E COLOCACAO (OBS.:3%-DESGASTE DE FERRAMENTAS E EPI).</t>
  </si>
  <si>
    <t>11798</t>
  </si>
  <si>
    <t>HASTE ATERRAMENTO COBREADA, ALTA CAMADA,DE (5/8"X2,40)M</t>
  </si>
  <si>
    <t>30313</t>
  </si>
  <si>
    <t>11.013.0070-B CONCRETO ARMADO FCK 15MPA</t>
  </si>
  <si>
    <t>SI74130/004</t>
  </si>
  <si>
    <t>DISJUNTOR TERMOMAGNETICO TRIPOLAR PADRAO NEMA (AMERICANO) 10 A 50A 240V, FORNECIMENTO E INSTALACAO</t>
  </si>
  <si>
    <t>02392</t>
  </si>
  <si>
    <t>DISJUNTOR TIPO NEMA, TRIPOLAR 10  ATE  50A, TENSAO MAXIMA DE 415 V</t>
  </si>
  <si>
    <t>SI000091867</t>
  </si>
  <si>
    <t>ELETRODUTO RÍGIDO ROSCÁVEL, PVC, DN 25 MM (3/4"), PARA CIRCUITOS TERMINAIS, INSTALADO EM LAJE - FORNECIMENTO E INSTALAÇÃO. AF_12/2015</t>
  </si>
  <si>
    <t>34562</t>
  </si>
  <si>
    <t>02674</t>
  </si>
  <si>
    <t>ELETRODUTO DE PVC RIGIDO ROSCAVEL DE 3/4 ", SEM LUVA</t>
  </si>
  <si>
    <t>SI000091890</t>
  </si>
  <si>
    <t>CURVA 90 GRAUS PARA ELETRODUTO, PVC, ROSCÁVEL, DN 25 MM (3/4"), PARA CIRCUITOS TERMINAIS, INSTALADA EM FORRO - FORNECIMENTO E INSTALAÇÃO. AF_12/2015</t>
  </si>
  <si>
    <t>01879</t>
  </si>
  <si>
    <t>CURVA 90 GRAUS, LONGA, DE PVC RIGIDO ROSCAVEL, DE 3/4", PARA ELETRODUTO</t>
  </si>
  <si>
    <t>SI000098111</t>
  </si>
  <si>
    <t>CAIXA DE INSPEÇÃO PARA ATERRAMENTO, CIRCULAR, EM POLIETILENO, DIÂMETRO INTERNO = 0,3 M. AF_05/2018</t>
  </si>
  <si>
    <t>34643</t>
  </si>
  <si>
    <t>CAIXA INSPECAO EM POLIETILENO PARA ATERRAMENTO E PARA RAIOS DIAMETRO = 300 MM</t>
  </si>
  <si>
    <t>SI000088309</t>
  </si>
  <si>
    <t>PEDREIRO COM ENCARGOS COMPLEMENTARES</t>
  </si>
  <si>
    <t>SI000094102</t>
  </si>
  <si>
    <t>SI000094102 LASTRO DE VALA COM PREPARO DE FUNDO, LARGURA MENOR QUE 1,5 M, COM CAMADA DE AREIA, LANÇAMENTO MANUAL, EM LOCAL COM NÍVEL BAIXO DE INTERFERÊNCIA. AF_06/2016</t>
  </si>
  <si>
    <t>Instalação Elétrica</t>
  </si>
  <si>
    <t>7.0</t>
  </si>
  <si>
    <t>7.1</t>
  </si>
  <si>
    <t>7.2</t>
  </si>
  <si>
    <t>5.4</t>
  </si>
  <si>
    <t>5.5</t>
  </si>
  <si>
    <t>5.6</t>
  </si>
  <si>
    <t>5.7</t>
  </si>
  <si>
    <t>5.8</t>
  </si>
  <si>
    <t>5.9</t>
  </si>
  <si>
    <t>5.11</t>
  </si>
  <si>
    <t>5.12</t>
  </si>
  <si>
    <t>5.13</t>
  </si>
  <si>
    <t>5.14</t>
  </si>
  <si>
    <t>5.15</t>
  </si>
  <si>
    <t>5.16</t>
  </si>
  <si>
    <t>5.17</t>
  </si>
  <si>
    <t>TOTAL 6.0</t>
  </si>
  <si>
    <t>POSTE DE CONCRETO,COM SECAO CIRCULAR,COM 7,00M DE COMPRIMENTO E CARGA NOMINAL HORIZONTAL NO TOPO DE 100KG,INCLUSIVE ESCA VACAO,EXCLUSIVE TRANSPORTE.FORNECIMENTO E COLOCACAO (OBS.:3%-DESGASTE DE FERRAMENTAS E EPI).</t>
  </si>
  <si>
    <t>18.045.0015-A</t>
  </si>
  <si>
    <t>00456</t>
  </si>
  <si>
    <t>POSTE DE CONCRETO, C/SECAO CIRCULAR, C/07,00M DE COMPR., PADRAO ABNT, EXCLUSIVETRANSP., C/CARGA NOM.HORIZ.TOPO 100KGF</t>
  </si>
  <si>
    <t>30523</t>
  </si>
  <si>
    <t>19.004.0080-C GUINDAUTO 3,5T, ALCANCE 5,90M (CP)</t>
  </si>
  <si>
    <t>30415</t>
  </si>
  <si>
    <t>19.004.0004-D CAMINHAO CARROC. FIXA, 7,5T (CF)</t>
  </si>
  <si>
    <t>30269</t>
  </si>
  <si>
    <t>11.002.0034-B LANCAMENTO CONC.S/ARM.3,5M3/H, HORIZ.</t>
  </si>
  <si>
    <t>30246</t>
  </si>
  <si>
    <t>11.001.0005-B CONCRETO FCK 15MPA</t>
  </si>
  <si>
    <t>21.009.0010-A</t>
  </si>
  <si>
    <t>PINTURA DE POSTE RETO DE ACO,DE 3,50 A 6,00M,COM DUAS DEMAOS DE TINTA FENOLICA DE ALTA RESISTENCIA AS INTEMPERIES,DE SEC AGEM RAPIDA,NA COR ALUMINIO (OBS.:3%-DESGASTE DE FERRAMENTAS E EPI).</t>
  </si>
  <si>
    <t>05360</t>
  </si>
  <si>
    <t>TINTA FENOLICA COR METALICA PRATEADA OUALUMINIO</t>
  </si>
  <si>
    <t>03866</t>
  </si>
  <si>
    <t>REDUTOR P/DILUICAO DE TINTAS E VERNIZES,EM LATA DE 5 LITROS</t>
  </si>
  <si>
    <t>15.003.0390-A</t>
  </si>
  <si>
    <t>ABRACADEIRA DE FIXACAO,TIPO COPO,ESTAMPADA EM CHAPA DE FERRO ZINCADA,COMPOSTA DE CANOPLA,PARAFUSOS E ABRACADEIRAS PROPRI AMENTE DITA,NO DIAMETRO 1/2".FORNECIMENTO E COLOCACAO (OBS.:3%-DESGASTE DE FERRAMENTAS E EPI).</t>
  </si>
  <si>
    <t>05904</t>
  </si>
  <si>
    <t>PARAFUSO FERRO, ROSCA SOBERBA, CABECA CHATA, DE (3,2X20)MM</t>
  </si>
  <si>
    <t>05879</t>
  </si>
  <si>
    <t>BUCHA DE NYLON, TIPO S-04</t>
  </si>
  <si>
    <t>05268</t>
  </si>
  <si>
    <t>ABRACADEIRA TIPO COPO, DE 1/2"</t>
  </si>
  <si>
    <t>12.003.0095-A</t>
  </si>
  <si>
    <t>ALVENARIA DE TIJOLOS CERAMICOS FURADOS 10X20X30CM,COMPLEMENTADA COM 20% DE TIJOLOS DE 10X20X20CM,ASSENTES COM ARGAMASSA DE CIMENTO E SAIBRO,NO TRACO 1:8,EM PAREDES DE UMA VEZ(0,20M),DE SUPERFICIE CORRIDA,ATE 3,00M DE ALTURA E MEDIDA PELA AR EA REAL (OBS.:3%-DESGASTE DE FERRAMENTAS E EPI).</t>
  </si>
  <si>
    <t>00560</t>
  </si>
  <si>
    <t>TIJOLO CERAMICO, FURADO, DE (10X20X30)CM</t>
  </si>
  <si>
    <t>00559</t>
  </si>
  <si>
    <t>TIJOLO CERAMICO, FURADO, DE (10X20X20)CM</t>
  </si>
  <si>
    <t>30179</t>
  </si>
  <si>
    <t>07.006.0025-B ARGAMASSA CIM.,SAIBRO TRACO 1:8,PREPAROMECANICO</t>
  </si>
  <si>
    <t>13.001.0026-A</t>
  </si>
  <si>
    <t>EMBOCO COM ARGAMASSA DE CIMENTO E AREIA,NO TRACO 1:3 COM 2CM DE ESPESSURA,INCLUSIVE CHAPISCO DE CIMENTO E AREIA,NO TRACO 0,04375 (OBS.:3%-DESGASTE DE FERRAMENTAS E EPI).</t>
  </si>
  <si>
    <t>30350</t>
  </si>
  <si>
    <t>13.001.0010-B CHAPISCO SUPERF. CONCR./ALVEN.,COM ARGAMASSA DE CIMENTO E AREIA NO TRACO 1:3</t>
  </si>
  <si>
    <t>11.013.0003-B</t>
  </si>
  <si>
    <t>VERGAS DE CONCRETO ARMADO PARA ALVENARIA,COM APROVEITAMENTO DA MADEIRA POR 10 VEZES (OBS.:3%-DESGASTE DE FERRAMENTAS E EPI).</t>
  </si>
  <si>
    <t>00029</t>
  </si>
  <si>
    <t>ACO CA-25, ESTIRADO, PRECO DE REVENDEDOR, NO DIAMETRO DE 06,3MM</t>
  </si>
  <si>
    <t>00004</t>
  </si>
  <si>
    <t>ARAME RECOZIDO N§ 18</t>
  </si>
  <si>
    <t>59.003.0010-B PINUS,PECA 1" X 12" E 1" X 9"</t>
  </si>
  <si>
    <t>30245</t>
  </si>
  <si>
    <t>11.001.0001-B CONCRETO FCK 10MPA</t>
  </si>
  <si>
    <t>14496</t>
  </si>
  <si>
    <t>LIXA PARA MASSA</t>
  </si>
  <si>
    <t>06028</t>
  </si>
  <si>
    <t>SELADOR PIGMENTADO A BASE DE RESINA ACRILICA MODIFICADA, NA COR BRANCA</t>
  </si>
  <si>
    <t>17.018.0110-A</t>
  </si>
  <si>
    <t>PINTURA COM TINTA LATEX SEMIBRILHANTE,FOSCA OU ACETINADA,CLASSIFICACAO PREMIUM OU STANDARD (NBR 15079),PARA INTERIOR E E XTERIOR,BRANCA OU COLORIDA,SOBRE TIJOLO,CONCRETO LISO,CIMENTO SEM AMIANTO,E REVESTIMENTO,INCLUSIVE LIXAMENTO,UMA DEMAO D E SELADOR ACRILICO E DUAS DEMAOS DE ACABAMENTO (OBS.:3%-DESGASTE DE FERRAMENTAS E EPI).</t>
  </si>
  <si>
    <t>03876</t>
  </si>
  <si>
    <t>TINTA LATEX STANDARD PARA EXTERIOR/INTERIOR SEMIBRILHANTE BRANCA OU COLORIDA, EMBALDES DE 18 LITROS</t>
  </si>
  <si>
    <t>ESTRUTURA DE CONCRETO ARMADO/ ALVENARIA E REVESTIMENTO</t>
  </si>
  <si>
    <t>1.6</t>
  </si>
  <si>
    <t>2.2</t>
  </si>
  <si>
    <t>2.3</t>
  </si>
  <si>
    <t>2.4</t>
  </si>
  <si>
    <t>4.4</t>
  </si>
  <si>
    <t>4.5</t>
  </si>
  <si>
    <t>21.001.0010-A</t>
  </si>
  <si>
    <t>ASSENTAMENTO DE POSTE DE CONCRETO,CIRCULAR,RETO DE 9,00M,COM CABECA DE CONCRETO,EXCLUSIVE FORNECIMENTO DO POSTE E DA CAB ECA (OBS.:3%-DESGASTE DE FERRAMENTAS E EPI).</t>
  </si>
  <si>
    <t>00149</t>
  </si>
  <si>
    <t>CIMENTO PORTLAND CP II 32, EM SACO DE 50KG</t>
  </si>
  <si>
    <t>00001</t>
  </si>
  <si>
    <t>AREIA LAVADA, GROSSA, PARA REGIAO METROPOLITANA DO RIO DE JANEIRO</t>
  </si>
  <si>
    <t>5.18</t>
  </si>
  <si>
    <t>PINUS, EM PECAS DE 7,50X7,50CM (3"X3")</t>
  </si>
  <si>
    <t>04.014.0095-A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</si>
  <si>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</si>
  <si>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</si>
  <si>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OBRA,INCLUSIVE CARREGAM.,TRANSP.E DESCARREGAMENTO</t>
  </si>
  <si>
    <t>05.001.0170-A</t>
  </si>
  <si>
    <t>TRANSPORTE HORIZONTAL DE MATERIAL DE 1¦CATEGORIA OU ENTULHO,EM CARRINHOS,A 10,00M DE DISTANCIA,INCLUSIVE CARGA A PA (OBS.:3%- DESGASTE DE FERRAMENTAS E EPI).</t>
  </si>
  <si>
    <t>7.3</t>
  </si>
  <si>
    <t>7.4</t>
  </si>
  <si>
    <t>L</t>
  </si>
  <si>
    <t>CHI</t>
  </si>
  <si>
    <t>14.002.0082-0</t>
  </si>
  <si>
    <t>PORTAO DE UMA FOLHA,MEDINDO 1,00X2,00M,EM TELA DE ARAME GALVANIZADO N§12,MALHA LOSANGO 5CM,FIXADA EM TUBO DE FERRO GALVA NIZADO COM DIAMETRO INTERNO DE 2" POR BARRA DE 1"X1/8",FORMANDO QUADROS DE 1,00X1,00M,MONTANTES EM FERRO GALVANIZADO COM DIAMETRO INTERNO DE 2",CHUMBADOS EM BLOCOS DE CONCRETO (EXCLUSIVE ESTES),EXCLUSIVE FECHADURA.FORNECIMENTO E COLOCACAO (OBS.:3%-DESGASTE DE FERRAMENTAS E EPI 15%-PERDAS E DEMAIS MATERIAIS NECESSARIOS).</t>
  </si>
  <si>
    <t>11248</t>
  </si>
  <si>
    <t>BARRA CHATA DE ACO, 1"X1/8"</t>
  </si>
  <si>
    <t>TUBO DE ACO GALVANIZADO, COM COSTURA, PESADO, NBR 5580, DN=2"</t>
  </si>
  <si>
    <t>3.3</t>
  </si>
  <si>
    <t>SI000072898</t>
  </si>
  <si>
    <t>CARGA E DESCARGA MECANIZADAS DE ENTULHO EM CAMINHAO BASCULANTE 6 M3</t>
  </si>
  <si>
    <t>SI000005940</t>
  </si>
  <si>
    <t>SI000005940 PÁ CARREGADEIRA SOBRE RODAS, POTÊNCIA LÍQUIDA 128 HP, CAPACIDADE DA CAÇAMBA 1,7 A 2,8 M3, PESO OPERACIONAL 11632 KG - CHP DIURNO. AF_06/2014</t>
  </si>
  <si>
    <t>SI000005811</t>
  </si>
  <si>
    <t>SI000005811 CAMINHÃO BASCULANTE 6 M3, PESO BRUTO TOTAL 16.000 KG, CARGA ÚTIL MÁXIMA 13.071 KG, DISTÂNCIA ENTRE EIXOS 4,80 M, POTÊNCIA 230 CV INCLUSIVE CAÇAMBA METÁLICA - CHP DIURNO. AF_06/2014</t>
  </si>
  <si>
    <t>SI000097914</t>
  </si>
  <si>
    <t>TRANSPORTE COM CAMINHÃO BASCULANTE DE 6 M3, EM VIA URBANA PAVIMENTADA, DMT ATÉ 30 KM (UNIDADE: M3XKM). AF_01/2018</t>
  </si>
  <si>
    <t>M3XKM</t>
  </si>
  <si>
    <t>SI000067827</t>
  </si>
  <si>
    <t>SI000067827 CAMINHÃO BASCULANTE 6 M3 TOCO, PESO BRUTO TOTAL 16.000 KG, CARGA ÚTIL MÁXIMA 11.130 KG, DISTÂNCIA ENTRE EIXOS 5,36 M, POTÊNCIA 185 CV, INCLUSIVE CAÇAMBA METÁLICA - CHI DIURNO. AF_06/2014</t>
  </si>
  <si>
    <t>SI000067826</t>
  </si>
  <si>
    <t>SI000067826 CAMINHÃO BASCULANTE 6 M3 TOCO, PESO BRUTO TOTAL 16.000 KG, CARGA ÚTIL MÁXIMA 11.130 KG, DISTÂNCIA ENTRE EIXOS 5,36 M, POTÊNCIA 185 CV, INCLUSIVE CAÇAMBA METÁLICA - CHP DIURNO. AF_06/2014</t>
  </si>
  <si>
    <t>So000041598</t>
  </si>
  <si>
    <t>SI000041598</t>
  </si>
  <si>
    <t>ENTRADA PROVISORIA DE ENERGIA ELETRICA AEREA TRIFASICA 40A EM POSTE MADEIRA</t>
  </si>
  <si>
    <t>02731</t>
  </si>
  <si>
    <t>MADEIRA ROLICA TRATADA, EUCALIPTO OU EQUIVALENTE DA REGIAO, H = 12 M, D = 20 A 24 CM (PARA POSTE)</t>
  </si>
  <si>
    <t>00420</t>
  </si>
  <si>
    <t>CINTA CIRCULAR EM ACO GALVANIZADO DE 150 MM DE DIAMETRO PARA FIXACAO DE CAIXA MEDICAO, INCLUI PARAFUSOS E PORCAS</t>
  </si>
  <si>
    <t>00857</t>
  </si>
  <si>
    <t>CABO DE COBRE NU 16 MM2 MEIO-DURO</t>
  </si>
  <si>
    <t>00937</t>
  </si>
  <si>
    <t>FIO DE COBRE, SOLIDO, CLASSE 1, ISOLACAO EM PVC/A, ANTICHAMA BWF-B, 450/750V, SECAO NOMINAL 10 MM2</t>
  </si>
  <si>
    <t>01062</t>
  </si>
  <si>
    <t>CAIXA INTERNA DE MEDICAO PARA 1 MEDIDOR TRIFASICO, COM VISOR, EM CHAPA DE ACO 18 USG (PADRAO DA CONCESSIONARIA LOCAL)</t>
  </si>
  <si>
    <t>01096</t>
  </si>
  <si>
    <t>ARMACAO VERTICAL COM HASTE E CONTRA-PINO, EM CHAPA DE ACO GALVANIZADO 3/16", COM 4 ESTRIBOS E 4 ISOLADORES</t>
  </si>
  <si>
    <t>01539</t>
  </si>
  <si>
    <t>CONECTOR METALICO TIPO PARAFUSO FENDIDO (SPLIT BOLT), PARA CABOS ATE 16 MM2</t>
  </si>
  <si>
    <t>01892</t>
  </si>
  <si>
    <t>LUVA EM PVC RIGIDO ROSCAVEL, DE 1", PARA ELETRODUTO</t>
  </si>
  <si>
    <t>00406</t>
  </si>
  <si>
    <t>FITA ACO INOX PARA CINTAR POSTE, L = 19 MM, E = 0,5 MM (ROLO DE 30M)</t>
  </si>
  <si>
    <t>02685</t>
  </si>
  <si>
    <t>ELETRODUTO DE PVC RIGIDO ROSCAVEL DE 1 ", SEM LUVA</t>
  </si>
  <si>
    <t>03379</t>
  </si>
  <si>
    <t>!EM PROCESSO DE DESATIVACAO! HASTE DE ATERRAMENTO EM ACO COM 3,00 M DE COMPRIMENTO E DN = 5/8", REVESTIDA COM BAIXA CAMADA DE COBRE, SEM CONECTOR</t>
  </si>
  <si>
    <t>04346</t>
  </si>
  <si>
    <t>PARAFUSO DE FERRO POLIDO, SEXTAVADO, COM ROSCA PARCIAL, DIAMETRO 5/8", COMPRIMENTO 6", COM PORCA E ARRUELA DE PRESSAO MEDIA</t>
  </si>
  <si>
    <t>11267</t>
  </si>
  <si>
    <t>ARRUELA REDONDA DE LATAO, DIAMETRO EXTERNO = 34 MM, ESPESSURA = 2,5 MM, DIAMETRO DO FURO = 17 MM</t>
  </si>
  <si>
    <t>12034</t>
  </si>
  <si>
    <t>CURVA 180 GRAUS, DE PVC RIGIDO ROSCAVEL, DE 3/4", PARA ELETRODUTO</t>
  </si>
  <si>
    <t>39176</t>
  </si>
  <si>
    <t>BUCHA EM ALUMINIO, COM ROSCA, DE 1", PARA ELETRODUTO</t>
  </si>
  <si>
    <t>39210</t>
  </si>
  <si>
    <t>ARRUELA EM ALUMINIO, COM ROSCA, DE 1", PARA ELETRODUTO</t>
  </si>
  <si>
    <t>02.015.0001-0</t>
  </si>
  <si>
    <t>02.015.0001-A</t>
  </si>
  <si>
    <t>INSTALACAO E LIGACAO PROVISORIA PARA ABASTECIMENTO DE AGUA E ESGOTAMENTO SANITARIO EM CANTEIRO DE OBRAS,INCLUSIVE ESCAVA CAO,EXCLUSIVE REPOSICAO DA PAVIMENTACAO DO LOGRADOURO PUBLICO (OBS.:3% - DESGASTE DE FERRAMENTAS E EPI).</t>
  </si>
  <si>
    <t>00872</t>
  </si>
  <si>
    <t>CURVA 45§ OU 90§ DE CERAMICA PARA ESGOTOCOM JUNTA ARGAMASSA, DE 0100MM</t>
  </si>
  <si>
    <t>00702</t>
  </si>
  <si>
    <t>REGISTRO DE GAVETA DE BRONZE, DE 1¦ QUALIDADE COM ROSCA DE AMBOS OS LADOS, DE 3/4"</t>
  </si>
  <si>
    <t>00148</t>
  </si>
  <si>
    <t>TUBO DE ACO GALVANIZADO, COM COSTURA, PESADO, NBR 5580, DN=3/4"</t>
  </si>
  <si>
    <t>00843</t>
  </si>
  <si>
    <t>TUBO CERAMICO, ESGOTO SANITARIO, DE 100MM E COM COMPRIMENTO DE 1,00M</t>
  </si>
  <si>
    <t>00788</t>
  </si>
  <si>
    <t>CAIXA D'AGUA DE FIBRA DE VIDRO OU POLIETILENO, COM CAPACIDADE DE 1000 LITROS</t>
  </si>
  <si>
    <t>20039</t>
  </si>
  <si>
    <t>MAO-DE-OBRA DE BOMBEIRO HIDRAULICO DA CONSTRUCAO CIVIL, INCLUSIVE ENCARGOS SOCIAIS DESONERADOS</t>
  </si>
  <si>
    <t>00688</t>
  </si>
  <si>
    <t>LIGACAO DE AGUA CEDAE, PARA INSTALACAO NO PASSEIO, DE 3/4", VAZAO DE 3,0M3/H (VALOR TOTAL)</t>
  </si>
  <si>
    <t>30403</t>
  </si>
  <si>
    <t>15.071.0012-B LIGACAO AGUAS PLUVIAIS OU DOMICILIARES</t>
  </si>
  <si>
    <t>19.005.0028-D</t>
  </si>
  <si>
    <t>RETROESCAVADEIRA, COM PESO OPERACIONAL EM TORNO DE 7T, MOTORDIESEL EM TORNO DE 75CV, CAPACIDADE APROXIMADA DA CACAMBA DE 0,76M3, PROFUNDIDADE DE ESCAVACAO MAXIMA DE 4,00M, INCLUSIVEOPERADOR (OBS.:50%-FILTRO).</t>
  </si>
  <si>
    <t>00222</t>
  </si>
  <si>
    <t>GRAXA COMUM P/LUBRIFICACAO DE CHASSIS, EM TAMBORES DE 170KG</t>
  </si>
  <si>
    <t>00220</t>
  </si>
  <si>
    <t>OLEO LUBRIFICANTE MINERAL MULTIVISCOSO,CLASSIFICACAO API CG-4, GRAU SAE 20W-40</t>
  </si>
  <si>
    <t>00218</t>
  </si>
  <si>
    <t>OLEO DIESEL COMBUSTIVEL COMUM, NA BOMBA</t>
  </si>
  <si>
    <t>20111</t>
  </si>
  <si>
    <t>MAO-DE-OBRA DE OPERADOR DE MAQUINA (TRATOR, ETC.), INCLUSIVE ENCARGOS SOCIAIS DESONERADOS</t>
  </si>
  <si>
    <t>05817</t>
  </si>
  <si>
    <t>RETROESCAVADEIRA, PRECO SEM PNEUS, PESOEM TORNO DE 7T, MOTOR DIESEL EM TORNO DE75CV, CAPAC. APROX. CACAMBA DE 0,76M3</t>
  </si>
  <si>
    <t>So02392</t>
  </si>
  <si>
    <t>So00406</t>
  </si>
  <si>
    <t>So00420</t>
  </si>
  <si>
    <t>So00857</t>
  </si>
  <si>
    <t>So00937</t>
  </si>
  <si>
    <t>So01062</t>
  </si>
  <si>
    <t>So01096</t>
  </si>
  <si>
    <t>So01892</t>
  </si>
  <si>
    <t>So39210</t>
  </si>
  <si>
    <t>So02685</t>
  </si>
  <si>
    <t>So02731</t>
  </si>
  <si>
    <t>So03379</t>
  </si>
  <si>
    <t>So04346</t>
  </si>
  <si>
    <t>So11267</t>
  </si>
  <si>
    <t>So12034</t>
  </si>
  <si>
    <t>So39176</t>
  </si>
  <si>
    <t>So01539</t>
  </si>
  <si>
    <t>So000088264</t>
  </si>
  <si>
    <t>01993</t>
  </si>
  <si>
    <t>MAO-DE-OBRA DE BOMBEIRO HIDRAULICO DA CONSTRUCAO CIVIL, INCLUSIVE ENCARGOS SOCIAIS</t>
  </si>
  <si>
    <t>02082</t>
  </si>
  <si>
    <t>15.071.0012-1 LIGACAO AGUAS PLUVIAIS OU DOMICILIARES</t>
  </si>
  <si>
    <t>01605</t>
  </si>
  <si>
    <t>07.002.0025-1 ARGAMASSA CIM.,AREIA TRACO 1:3,PREPAROMECANICO</t>
  </si>
  <si>
    <t>59.003.0010-1 PINUS,PECA 1" X 12" E 1" X 9"</t>
  </si>
  <si>
    <t>19.005.0028-3</t>
  </si>
  <si>
    <t>12.003.0095-0</t>
  </si>
  <si>
    <t>01613</t>
  </si>
  <si>
    <t>07.006.0025-1 ARGAMASSA CIM.,SAIBRO TRACO 1:8,PREPAROMECANICO</t>
  </si>
  <si>
    <t>13.001.0026-0</t>
  </si>
  <si>
    <t>03084</t>
  </si>
  <si>
    <t>13.001.0010-1 CHAPISCO SUPERF. CONCR./ALVEN.,COM ARGAMASSA DE CIMENTO E AREIA NO TRACO 1:3</t>
  </si>
  <si>
    <t>11.013.0003-1</t>
  </si>
  <si>
    <t>01633</t>
  </si>
  <si>
    <t>11.001.0001-1 CONCRETO FCK 10MPA</t>
  </si>
  <si>
    <t>21.009.0010-0</t>
  </si>
  <si>
    <t>17.018.0110-0</t>
  </si>
  <si>
    <t>01919</t>
  </si>
  <si>
    <t>MAO-DE-OBRA DE AJUDANTE DE MONTADOR ELETROMECANICO (ILUMINACAO PUBLICA), INCLUSIVE ENCARGOS SOCIAIS</t>
  </si>
  <si>
    <t>21.003.0080-0</t>
  </si>
  <si>
    <t>21.001.0160-0</t>
  </si>
  <si>
    <t>15.020.0055-0</t>
  </si>
  <si>
    <t>18.027.0095-0</t>
  </si>
  <si>
    <t>18.260.0070-0</t>
  </si>
  <si>
    <t>15.007.0400-0</t>
  </si>
  <si>
    <t>15.008.0025-0</t>
  </si>
  <si>
    <t>15.011.0021-0</t>
  </si>
  <si>
    <t>15.007.0209-0</t>
  </si>
  <si>
    <t>18.045.0015-0</t>
  </si>
  <si>
    <t>21.001.0010-0</t>
  </si>
  <si>
    <t>15.003.0390-0</t>
  </si>
  <si>
    <t>01648</t>
  </si>
  <si>
    <t>12.003.0075-1 ALVENARIA TIJ. FURADO 10X20X20CM</t>
  </si>
  <si>
    <t>02129</t>
  </si>
  <si>
    <t>11.013.0070-1 CONCRETO ARMADO FCK 15MPA</t>
  </si>
  <si>
    <t>So74130/004</t>
  </si>
  <si>
    <t>So000088247</t>
  </si>
  <si>
    <t>So000091867</t>
  </si>
  <si>
    <t>So34562</t>
  </si>
  <si>
    <t>So02674</t>
  </si>
  <si>
    <t>So000091890</t>
  </si>
  <si>
    <t>So01879</t>
  </si>
  <si>
    <t>So000098111</t>
  </si>
  <si>
    <t>So34643</t>
  </si>
  <si>
    <t>So000088309</t>
  </si>
  <si>
    <t>So000094102</t>
  </si>
  <si>
    <t>So000094102 LASTRO DE VALA COM PREPARO DE FUNDO, LARGURA MENOR QUE 1,5 M, COM CAMADA DE AREIA, LANÇAMENTO MANUAL, EM LOCAL COM NÍVEL BAIXO DE INTERFERÊNCIA. AF_06/2016</t>
  </si>
  <si>
    <t>02003</t>
  </si>
  <si>
    <t>19.004.0080-2 GUINDAUTO 3,5T, ALCANCE 7,0M (CP)</t>
  </si>
  <si>
    <t>01763</t>
  </si>
  <si>
    <t>11.002.0034-1 LANCAMENTO CONC.S/ARM.3,5M3/H, HORIZ.</t>
  </si>
  <si>
    <t>01635</t>
  </si>
  <si>
    <t>11.001.0005-1 CONCRETO FCK 15MPA</t>
  </si>
  <si>
    <t>01005</t>
  </si>
  <si>
    <t>19.004.0004-3 CAMINHAO CARROC. FIXA, 7,5T (CF)</t>
  </si>
  <si>
    <t>04.014.0095-0</t>
  </si>
  <si>
    <t>05.001.0170-0</t>
  </si>
  <si>
    <t>So000072898</t>
  </si>
  <si>
    <t>So000005940</t>
  </si>
  <si>
    <t>So000005940 PÁ CARREGADEIRA SOBRE RODAS, POTÊNCIA LÍQUIDA 128 HP, CAPACIDADE DA CAÇAMBA 1,7 A 2,8 M3, PESO OPERACIONAL 11632 KG - CHP DIURNO. AF_06/2014</t>
  </si>
  <si>
    <t>So000005811</t>
  </si>
  <si>
    <t>So000005811 CAMINHÃO BASCULANTE 6 M3, PESO BRUTO TOTAL 16.000 KG, CARGA ÚTIL MÁXIMA 13.071 KG, DISTÂNCIA ENTRE EIXOS 4,80 M, POTÊNCIA 230 CV INCLUSIVE CAÇAMBA METÁLICA - CHP DIURNO. AF_06/2014</t>
  </si>
  <si>
    <t>So000097914</t>
  </si>
  <si>
    <t>So000067827</t>
  </si>
  <si>
    <t>So000067827 CAMINHÃO BASCULANTE 6 M3 TOCO, PESO BRUTO TOTAL 16.000 KG, CARGA ÚTIL MÁXIMA 11.130 KG, DISTÂNCIA ENTRE EIXOS 5,36 M, POTÊNCIA 185 CV, INCLUSIVE CAÇAMBA METÁLICA - CHI DIURNO. AF_06/2014</t>
  </si>
  <si>
    <t>So000067826</t>
  </si>
  <si>
    <t>So000067826 CAMINHÃO BASCULANTE 6 M3 TOCO, PESO BRUTO TOTAL 16.000 KG, CARGA ÚTIL MÁXIMA 11.130 KG, DISTÂNCIA ENTRE EIXOS 5,36 M, POTÊNCIA 185 CV, INCLUSIVE CAÇAMBA METÁLICA - CHP DIURNO. AF_06/2014</t>
  </si>
  <si>
    <t>DOBRADICA EM FERRO LAMINADO, COM PINO DEFERRO REVERSIVEL, DE 3"X3"X5/64"</t>
  </si>
  <si>
    <t>GLOBO ESFERICO, EM VIDRO, TIPO LEITOSO,DE 4"X6"</t>
  </si>
  <si>
    <t>PISO DE CONCRETO ARMADO MONOLITICO,C/JUNTA FRIA,ALISADO C/REGUA VIBRATORIA,ESPESSURA 10CM,SOBRE TERRENO ACERTADO E SOBRE LASTRO DE BRITA,EXCLUSIVE ACERTO DO TERRENO,INCLUSIVE BRITA,LONA DE TECIDO RESINADO,TELA SOLDADA 15X15CM #4,2MM(DUPLA), CONCRETO USINADO RESISTENCIA A COMPRESSAO 20MPA C/TRANSPORTEDO CONCRETO E TODA A MAO-DE-OBRA E EQUIPAMENTOS NECESSARIOS (OBS.:3%-DESGASTE DE FERRAMENTAS E EPI).</t>
  </si>
  <si>
    <t>SI74244/001</t>
  </si>
  <si>
    <t>So74244/001</t>
  </si>
  <si>
    <t>ALAMBRADO PARA QUADRA POLIESPORTIVA, ESTRUTURADO POR TUBOS DE ACO GALVANIZADO, COM COSTURA, DIN 2440, DIAMETRO 2", COM TELA DE ARAME GALVANIZADO, FIO 14 BWG E MALHA QUADRADA 5X5CM</t>
  </si>
  <si>
    <t>CONTRAVENTAMENTO DE ALAMBRADO COM TUBOS DE FERRO GALVANIZADO(EXTERN.E INTERNAMENTE),C/DIAMETRO INTERNO DE 2" E ESPESSURA DE PAREDE DE 1/8".FORNECIMENTO E COLOCACAO (OBS.:3%-DESGASTE DE FERRAMENTAS E EPI 15%-PERDAS E DEMAIS MATERIAIS NECESSARIOS).</t>
  </si>
  <si>
    <t>14.002.0082-A</t>
  </si>
  <si>
    <t>1.7</t>
  </si>
  <si>
    <t>1.8</t>
  </si>
  <si>
    <t>7.5</t>
  </si>
  <si>
    <t>7.6</t>
  </si>
  <si>
    <t>ELÉTRICA</t>
  </si>
  <si>
    <t>90 DIAS</t>
  </si>
  <si>
    <t>Data-Base:   EMOP -  RJ / SINAPI e SCO-RJ- NÃO Desonerado - Base ABRIL-2019</t>
  </si>
  <si>
    <r>
      <t>Data-Base:   EMOP -  RJ / SINAPI e SCO-RJ-</t>
    </r>
    <r>
      <rPr>
        <b/>
        <sz val="12"/>
        <color indexed="8"/>
        <rFont val="Arial"/>
        <family val="2"/>
      </rPr>
      <t xml:space="preserve"> Não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Abril-2019</t>
    </r>
  </si>
  <si>
    <r>
      <t>Data-Base:   EMOP -  RJ / SINAPI e SCO-RJ-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Abril-2019</t>
    </r>
  </si>
  <si>
    <t>So000092718</t>
  </si>
  <si>
    <t>So000092777</t>
  </si>
  <si>
    <t>ARMAÇÃO DE PILAR OU VIGA DE UMA ESTRUTURA CONVENCIONAL DE CONCRETO ARMADO EM UMA EDIFICAÇÃO TÉRREA OU SOBRADO UTILIZANDO AÇO CA-50 DE 8,0 MM - MONTAGEM. AF_12/2015</t>
  </si>
  <si>
    <t>So39017</t>
  </si>
  <si>
    <t>ESPACADOR / DISTANCIADOR CIRCULAR COM ENTRADA LATERAL, EM PLASTICO, PARA VERGALHAO *4,2 A 12,5* MM, COBRIMENTO 20 MM</t>
  </si>
  <si>
    <t>So00337</t>
  </si>
  <si>
    <t>ARAME RECOZIDO 18 BWG, 1,25 MM (0,01 KG/M)</t>
  </si>
  <si>
    <t>So000088245</t>
  </si>
  <si>
    <t>ARMADOR COM ENCARGOS COMPLEMENTARES</t>
  </si>
  <si>
    <t>So000088238</t>
  </si>
  <si>
    <t>AJUDANTE DE ARMADOR COM ENCARGOS COMPLEMENTARES</t>
  </si>
  <si>
    <t>So000092793</t>
  </si>
  <si>
    <t>So000092793 CORTE E DOBRA DE AÇO CA-50, DIÂMETRO DE 8,0 MM, UTILIZADO EM ESTRUTURAS DIVERSAS, EXCETO LAJES. AF_12/2015</t>
  </si>
  <si>
    <t>CONCRETAGEM DE PILARES, FCK = 25 MPA,  COM USO DE BALDES EM EDIFICAÇÃO COM SEÇÃO MÉDIA DE PILARES MENOR OU IGUAL A 0,25 M² - LANÇAMENTO, ADENSAMENTO E ACABAMENTO. AF_12/2015</t>
  </si>
  <si>
    <t>So000088262</t>
  </si>
  <si>
    <t>CARPINTEIRO DE FORMAS COM ENCARGOS COMPLEMENTARES</t>
  </si>
  <si>
    <t>So000090587</t>
  </si>
  <si>
    <t>So000090587 VIBRADOR DE IMERSÃO, DIÂMETRO DE PONTEIRA 45MM, MOTOR ELÉTRICO TRIFÁSICO POTÊNCIA DE 2 CV - CHI DIURNO. AF_06/2015</t>
  </si>
  <si>
    <t>So000090586</t>
  </si>
  <si>
    <t>So000090586 VIBRADOR DE IMERSÃO, DIÂMETRO DE PONTEIRA 45MM, MOTOR ELÉTRICO TRIFÁSICO POTÊNCIA DE 2 CV - CHP DIURNO. AF_06/2015</t>
  </si>
  <si>
    <t>01.001.0075-1</t>
  </si>
  <si>
    <t>PERFURACAO MANUAL DE SOLO,A TRADO ATE 6" (OBS.:3% - DESGASTE DE FERRAMENTAS E EPI).</t>
  </si>
  <si>
    <t>01.001.0075-B</t>
  </si>
  <si>
    <t>SI000092718</t>
  </si>
  <si>
    <t>SI000092777</t>
  </si>
  <si>
    <t>SI000088262</t>
  </si>
  <si>
    <t>SI000090587</t>
  </si>
  <si>
    <t>SI000090587 VIBRADOR DE IMERSÃO, DIÂMETRO DE PONTEIRA 45MM, MOTOR ELÉTRICO TRIFÁSICO POTÊNCIA DE 2 CV - CHI DIURNO. AF_06/2015</t>
  </si>
  <si>
    <t>SI000090586</t>
  </si>
  <si>
    <t>SI000090586 VIBRADOR DE IMERSÃO, DIÂMETRO DE PONTEIRA 45MM, MOTOR ELÉTRICO TRIFÁSICO POTÊNCIA DE 2 CV - CHP DIURNO. AF_06/2015</t>
  </si>
  <si>
    <t>39017</t>
  </si>
  <si>
    <t>00337</t>
  </si>
  <si>
    <t>SI000088245</t>
  </si>
  <si>
    <t>SI000088238</t>
  </si>
  <si>
    <t>SI000092793</t>
  </si>
  <si>
    <t>SI000092793 CORTE E DOBRA DE AÇO CA-50, DIÂMETRO DE 8,0 MM, UTILIZADO EM ESTRUTURAS DIVERSAS, EXCETO LAJES. AF_12/2015</t>
  </si>
  <si>
    <t>2.5</t>
  </si>
  <si>
    <t>2.6</t>
  </si>
  <si>
    <t>Local: Rua Olavo Bilac com a Rua Antônio da Silva Réis, Nova Esperança, Barra Mansa-RJ</t>
  </si>
  <si>
    <t>PLANINHA ORÇAMENTÁRIA</t>
  </si>
  <si>
    <t xml:space="preserve">MEMÓRIA </t>
  </si>
  <si>
    <t>MEMÓRIA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</si>
</sst>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60" fillId="33" borderId="11" xfId="65" applyNumberFormat="1" applyFont="1" applyFill="1" applyBorder="1" applyAlignment="1">
      <alignment horizontal="center"/>
      <protection/>
    </xf>
    <xf numFmtId="49" fontId="60" fillId="33" borderId="12" xfId="59" applyNumberFormat="1" applyFont="1" applyFill="1" applyBorder="1">
      <alignment/>
      <protection/>
    </xf>
    <xf numFmtId="4" fontId="60" fillId="33" borderId="12" xfId="59" applyNumberFormat="1" applyFont="1" applyFill="1" applyBorder="1" applyAlignment="1">
      <alignment horizontal="left" readingOrder="1"/>
      <protection/>
    </xf>
    <xf numFmtId="4" fontId="60" fillId="33" borderId="11" xfId="66" applyNumberFormat="1" applyFont="1" applyFill="1" applyBorder="1" applyAlignment="1">
      <alignment horizontal="left" vertical="center"/>
      <protection/>
    </xf>
    <xf numFmtId="4" fontId="60" fillId="33" borderId="12" xfId="0" applyNumberFormat="1" applyFont="1" applyFill="1" applyBorder="1" applyAlignment="1">
      <alignment horizontal="left"/>
    </xf>
    <xf numFmtId="4" fontId="60" fillId="33" borderId="12" xfId="65" applyNumberFormat="1" applyFont="1" applyFill="1" applyBorder="1" applyAlignment="1">
      <alignment horizontal="left"/>
      <protection/>
    </xf>
    <xf numFmtId="4" fontId="60" fillId="33" borderId="13" xfId="65" applyNumberFormat="1" applyFont="1" applyFill="1" applyBorder="1" applyAlignment="1">
      <alignment horizontal="left"/>
      <protection/>
    </xf>
    <xf numFmtId="49" fontId="60" fillId="33" borderId="14" xfId="65" applyNumberFormat="1" applyFont="1" applyFill="1" applyBorder="1" applyAlignment="1">
      <alignment horizontal="center"/>
      <protection/>
    </xf>
    <xf numFmtId="49" fontId="60" fillId="33" borderId="0" xfId="59" applyNumberFormat="1" applyFont="1" applyFill="1" applyBorder="1">
      <alignment/>
      <protection/>
    </xf>
    <xf numFmtId="4" fontId="60" fillId="33" borderId="0" xfId="59" applyNumberFormat="1" applyFont="1" applyFill="1" applyBorder="1" applyAlignment="1">
      <alignment horizontal="left" readingOrder="1"/>
      <protection/>
    </xf>
    <xf numFmtId="4" fontId="60" fillId="33" borderId="14" xfId="66" applyNumberFormat="1" applyFont="1" applyFill="1" applyBorder="1" applyAlignment="1">
      <alignment horizontal="left" vertical="center"/>
      <protection/>
    </xf>
    <xf numFmtId="4" fontId="60" fillId="33" borderId="0" xfId="65" applyNumberFormat="1" applyFont="1" applyFill="1" applyBorder="1" applyAlignment="1">
      <alignment horizontal="left"/>
      <protection/>
    </xf>
    <xf numFmtId="4" fontId="60" fillId="33" borderId="0" xfId="59" applyNumberFormat="1" applyFont="1" applyFill="1" applyBorder="1" applyAlignment="1">
      <alignment horizontal="left"/>
      <protection/>
    </xf>
    <xf numFmtId="4" fontId="60" fillId="33" borderId="15" xfId="59" applyNumberFormat="1" applyFont="1" applyFill="1" applyBorder="1" applyAlignment="1">
      <alignment horizontal="left"/>
      <protection/>
    </xf>
    <xf numFmtId="4" fontId="61" fillId="33" borderId="0" xfId="59" applyNumberFormat="1" applyFont="1" applyFill="1" applyBorder="1" applyAlignment="1">
      <alignment vertical="center" wrapText="1" readingOrder="1"/>
      <protection/>
    </xf>
    <xf numFmtId="4" fontId="61" fillId="33" borderId="0" xfId="59" applyNumberFormat="1" applyFont="1" applyFill="1" applyBorder="1">
      <alignment/>
      <protection/>
    </xf>
    <xf numFmtId="49" fontId="60" fillId="33" borderId="16" xfId="65" applyNumberFormat="1" applyFont="1" applyFill="1" applyBorder="1" applyAlignment="1">
      <alignment horizontal="center"/>
      <protection/>
    </xf>
    <xf numFmtId="49" fontId="60" fillId="33" borderId="17" xfId="66" applyNumberFormat="1" applyFont="1" applyFill="1" applyBorder="1" applyAlignment="1">
      <alignment horizontal="center"/>
      <protection/>
    </xf>
    <xf numFmtId="4" fontId="61" fillId="33" borderId="17" xfId="66" applyNumberFormat="1" applyFont="1" applyFill="1" applyBorder="1" applyAlignment="1">
      <alignment/>
      <protection/>
    </xf>
    <xf numFmtId="0" fontId="4" fillId="0" borderId="13" xfId="62" applyFont="1" applyBorder="1">
      <alignment/>
      <protection/>
    </xf>
    <xf numFmtId="0" fontId="7" fillId="0" borderId="0" xfId="62">
      <alignment/>
      <protection/>
    </xf>
    <xf numFmtId="0" fontId="4" fillId="0" borderId="15" xfId="62" applyFont="1" applyBorder="1">
      <alignment/>
      <protection/>
    </xf>
    <xf numFmtId="0" fontId="4" fillId="0" borderId="18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7" fillId="0" borderId="0" xfId="62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9" fillId="0" borderId="21" xfId="63" applyFont="1" applyFill="1" applyBorder="1" applyAlignment="1">
      <alignment vertical="top"/>
      <protection/>
    </xf>
    <xf numFmtId="39" fontId="8" fillId="0" borderId="21" xfId="62" applyNumberFormat="1" applyFont="1" applyBorder="1" applyAlignment="1">
      <alignment/>
      <protection/>
    </xf>
    <xf numFmtId="0" fontId="9" fillId="0" borderId="19" xfId="65" applyFont="1" applyFill="1" applyBorder="1" applyAlignment="1">
      <alignment vertical="top"/>
      <protection/>
    </xf>
    <xf numFmtId="0" fontId="8" fillId="0" borderId="19" xfId="65" applyFont="1" applyFill="1" applyBorder="1" applyAlignment="1">
      <alignment horizontal="left" vertical="top"/>
      <protection/>
    </xf>
    <xf numFmtId="10" fontId="8" fillId="0" borderId="19" xfId="71" applyNumberFormat="1" applyFont="1" applyFill="1" applyBorder="1" applyAlignment="1">
      <alignment/>
    </xf>
    <xf numFmtId="0" fontId="8" fillId="0" borderId="19" xfId="65" applyFont="1" applyFill="1" applyBorder="1" applyAlignment="1">
      <alignment horizontal="justify" vertical="justify" wrapText="1"/>
      <protection/>
    </xf>
    <xf numFmtId="0" fontId="11" fillId="0" borderId="19" xfId="65" applyFont="1" applyBorder="1" applyAlignment="1">
      <alignment vertical="top"/>
      <protection/>
    </xf>
    <xf numFmtId="0" fontId="11" fillId="0" borderId="19" xfId="65" applyFont="1" applyBorder="1" applyAlignment="1">
      <alignment horizontal="left" vertical="top"/>
      <protection/>
    </xf>
    <xf numFmtId="0" fontId="12" fillId="0" borderId="0" xfId="62" applyFont="1">
      <alignment/>
      <protection/>
    </xf>
    <xf numFmtId="0" fontId="60" fillId="34" borderId="19" xfId="0" applyFont="1" applyFill="1" applyBorder="1" applyAlignment="1">
      <alignment/>
    </xf>
    <xf numFmtId="0" fontId="37" fillId="33" borderId="0" xfId="0" applyFont="1" applyFill="1" applyAlignment="1">
      <alignment horizontal="right"/>
    </xf>
    <xf numFmtId="4" fontId="5" fillId="33" borderId="0" xfId="59" applyNumberFormat="1" applyFont="1" applyFill="1" applyBorder="1" applyAlignment="1">
      <alignment vertical="center" wrapText="1" readingOrder="1"/>
      <protection/>
    </xf>
    <xf numFmtId="4" fontId="6" fillId="33" borderId="0" xfId="66" applyNumberFormat="1" applyFont="1" applyFill="1" applyBorder="1" applyAlignment="1">
      <alignment horizontal="left"/>
      <protection/>
    </xf>
    <xf numFmtId="4" fontId="1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60" fillId="34" borderId="2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7" fillId="33" borderId="17" xfId="0" applyNumberFormat="1" applyFont="1" applyFill="1" applyBorder="1" applyAlignment="1">
      <alignment horizontal="right"/>
    </xf>
    <xf numFmtId="4" fontId="37" fillId="33" borderId="22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justify" vertical="top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 applyAlignment="1">
      <alignment/>
      <protection/>
    </xf>
    <xf numFmtId="4" fontId="3" fillId="0" borderId="0" xfId="67" applyNumberFormat="1" applyFont="1" applyFill="1" applyBorder="1" applyAlignment="1">
      <alignment horizontal="right"/>
      <protection/>
    </xf>
    <xf numFmtId="4" fontId="3" fillId="0" borderId="0" xfId="6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67" applyFont="1" applyFill="1" applyBorder="1" applyAlignment="1">
      <alignment horizontal="justify" vertical="justify" wrapText="1"/>
      <protection/>
    </xf>
    <xf numFmtId="4" fontId="3" fillId="0" borderId="0" xfId="67" applyNumberFormat="1" applyFont="1" applyFill="1" applyBorder="1" applyAlignment="1">
      <alignment horizontal="justify" vertical="justify" wrapText="1"/>
      <protection/>
    </xf>
    <xf numFmtId="44" fontId="8" fillId="0" borderId="19" xfId="50" applyFont="1" applyFill="1" applyBorder="1" applyAlignment="1">
      <alignment/>
    </xf>
    <xf numFmtId="10" fontId="8" fillId="35" borderId="19" xfId="71" applyNumberFormat="1" applyFont="1" applyFill="1" applyBorder="1" applyAlignment="1">
      <alignment/>
    </xf>
    <xf numFmtId="4" fontId="8" fillId="35" borderId="20" xfId="56" applyNumberFormat="1" applyFont="1" applyFill="1" applyBorder="1">
      <alignment/>
      <protection/>
    </xf>
    <xf numFmtId="0" fontId="8" fillId="35" borderId="24" xfId="56" applyFont="1" applyFill="1" applyBorder="1">
      <alignment/>
      <protection/>
    </xf>
    <xf numFmtId="166" fontId="9" fillId="35" borderId="24" xfId="71" applyNumberFormat="1" applyFont="1" applyFill="1" applyBorder="1" applyAlignment="1">
      <alignment horizontal="center"/>
    </xf>
    <xf numFmtId="0" fontId="8" fillId="35" borderId="25" xfId="62" applyFont="1" applyFill="1" applyBorder="1">
      <alignment/>
      <protection/>
    </xf>
    <xf numFmtId="44" fontId="9" fillId="0" borderId="19" xfId="50" applyFont="1" applyFill="1" applyBorder="1" applyAlignment="1">
      <alignment/>
    </xf>
    <xf numFmtId="0" fontId="18" fillId="0" borderId="0" xfId="67" applyFont="1" applyFill="1" applyBorder="1" applyAlignment="1">
      <alignment horizontal="justify" vertical="justify" wrapText="1"/>
      <protection/>
    </xf>
    <xf numFmtId="4" fontId="18" fillId="0" borderId="0" xfId="68" applyNumberFormat="1" applyFont="1" applyFill="1" applyBorder="1" applyAlignment="1">
      <alignment horizontal="right"/>
      <protection/>
    </xf>
    <xf numFmtId="4" fontId="18" fillId="0" borderId="0" xfId="67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0" fontId="18" fillId="0" borderId="0" xfId="67" applyFont="1" applyFill="1" applyBorder="1" applyAlignment="1">
      <alignment horizontal="center" vertical="center"/>
      <protection/>
    </xf>
    <xf numFmtId="0" fontId="18" fillId="0" borderId="0" xfId="67" applyFont="1" applyFill="1" applyBorder="1" applyAlignment="1">
      <alignment horizontal="center" vertical="center" wrapText="1"/>
      <protection/>
    </xf>
    <xf numFmtId="4" fontId="18" fillId="0" borderId="0" xfId="67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wrapText="1"/>
    </xf>
    <xf numFmtId="0" fontId="18" fillId="0" borderId="0" xfId="67" applyFont="1" applyFill="1" applyBorder="1" applyAlignment="1">
      <alignment horizontal="center" vertical="justify" wrapText="1"/>
      <protection/>
    </xf>
    <xf numFmtId="4" fontId="18" fillId="0" borderId="0" xfId="67" applyNumberFormat="1" applyFont="1" applyFill="1" applyBorder="1" applyAlignment="1">
      <alignment horizontal="justify" vertical="justify" wrapText="1"/>
      <protection/>
    </xf>
    <xf numFmtId="0" fontId="62" fillId="0" borderId="0" xfId="0" applyFont="1" applyBorder="1" applyAlignment="1">
      <alignment vertical="justify"/>
    </xf>
    <xf numFmtId="0" fontId="3" fillId="36" borderId="19" xfId="67" applyFont="1" applyFill="1" applyBorder="1" applyAlignment="1">
      <alignment horizontal="center" vertical="center"/>
      <protection/>
    </xf>
    <xf numFmtId="0" fontId="3" fillId="36" borderId="19" xfId="67" applyFont="1" applyFill="1" applyBorder="1" applyAlignment="1">
      <alignment horizontal="center" vertical="center" wrapText="1"/>
      <protection/>
    </xf>
    <xf numFmtId="0" fontId="3" fillId="36" borderId="19" xfId="67" applyFont="1" applyFill="1" applyBorder="1" applyAlignment="1">
      <alignment horizontal="justify" vertical="justify" wrapText="1"/>
      <protection/>
    </xf>
    <xf numFmtId="4" fontId="3" fillId="36" borderId="19" xfId="67" applyNumberFormat="1" applyFont="1" applyFill="1" applyBorder="1" applyAlignment="1">
      <alignment horizontal="center" vertical="center"/>
      <protection/>
    </xf>
    <xf numFmtId="4" fontId="3" fillId="36" borderId="19" xfId="67" applyNumberFormat="1" applyFont="1" applyFill="1" applyBorder="1" applyAlignment="1">
      <alignment horizontal="right"/>
      <protection/>
    </xf>
    <xf numFmtId="4" fontId="3" fillId="36" borderId="19" xfId="68" applyNumberFormat="1" applyFont="1" applyFill="1" applyBorder="1" applyAlignment="1">
      <alignment horizontal="right"/>
      <protection/>
    </xf>
    <xf numFmtId="4" fontId="3" fillId="36" borderId="19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 horizontal="right" wrapText="1"/>
    </xf>
    <xf numFmtId="0" fontId="3" fillId="36" borderId="19" xfId="67" applyFont="1" applyFill="1" applyBorder="1" applyAlignment="1">
      <alignment horizontal="justify" vertical="top" wrapText="1"/>
      <protection/>
    </xf>
    <xf numFmtId="4" fontId="3" fillId="36" borderId="19" xfId="67" applyNumberFormat="1" applyFont="1" applyFill="1" applyBorder="1" applyAlignment="1">
      <alignment/>
      <protection/>
    </xf>
    <xf numFmtId="0" fontId="3" fillId="14" borderId="19" xfId="67" applyFont="1" applyFill="1" applyBorder="1" applyAlignment="1">
      <alignment horizontal="justify" vertical="justify" wrapText="1"/>
      <protection/>
    </xf>
    <xf numFmtId="4" fontId="3" fillId="14" borderId="19" xfId="67" applyNumberFormat="1" applyFont="1" applyFill="1" applyBorder="1" applyAlignment="1">
      <alignment horizontal="justify" vertical="justify" wrapText="1"/>
      <protection/>
    </xf>
    <xf numFmtId="4" fontId="3" fillId="14" borderId="19" xfId="68" applyNumberFormat="1" applyFont="1" applyFill="1" applyBorder="1" applyAlignment="1">
      <alignment horizontal="right"/>
      <protection/>
    </xf>
    <xf numFmtId="4" fontId="3" fillId="14" borderId="19" xfId="0" applyNumberFormat="1" applyFont="1" applyFill="1" applyBorder="1" applyAlignment="1">
      <alignment horizontal="right"/>
    </xf>
    <xf numFmtId="44" fontId="3" fillId="14" borderId="19" xfId="50" applyFont="1" applyFill="1" applyBorder="1" applyAlignment="1">
      <alignment horizontal="justify" vertical="justify" wrapText="1"/>
    </xf>
    <xf numFmtId="4" fontId="18" fillId="0" borderId="0" xfId="68" applyNumberFormat="1" applyFont="1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justify" vertical="justify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63" fillId="0" borderId="0" xfId="67" applyFont="1" applyFill="1" applyBorder="1" applyAlignment="1">
      <alignment horizontal="justify" vertical="justify" wrapText="1"/>
      <protection/>
    </xf>
    <xf numFmtId="4" fontId="3" fillId="0" borderId="12" xfId="0" applyNumberFormat="1" applyFont="1" applyFill="1" applyBorder="1" applyAlignment="1">
      <alignment horizontal="right"/>
    </xf>
    <xf numFmtId="4" fontId="3" fillId="0" borderId="12" xfId="68" applyNumberFormat="1" applyFont="1" applyFill="1" applyBorder="1" applyAlignment="1">
      <alignment horizontal="right"/>
      <protection/>
    </xf>
    <xf numFmtId="44" fontId="3" fillId="0" borderId="0" xfId="50" applyFont="1" applyFill="1" applyBorder="1" applyAlignment="1">
      <alignment horizontal="justify" vertical="justify" wrapText="1"/>
    </xf>
    <xf numFmtId="0" fontId="3" fillId="14" borderId="19" xfId="67" applyFont="1" applyFill="1" applyBorder="1" applyAlignment="1">
      <alignment horizontal="center" vertical="center"/>
      <protection/>
    </xf>
    <xf numFmtId="0" fontId="3" fillId="14" borderId="19" xfId="67" applyFont="1" applyFill="1" applyBorder="1" applyAlignment="1">
      <alignment horizontal="center" vertical="center" wrapText="1"/>
      <protection/>
    </xf>
    <xf numFmtId="0" fontId="3" fillId="14" borderId="19" xfId="67" applyFont="1" applyFill="1" applyBorder="1" applyAlignment="1">
      <alignment horizontal="justify" vertical="top" wrapText="1"/>
      <protection/>
    </xf>
    <xf numFmtId="4" fontId="3" fillId="14" borderId="19" xfId="67" applyNumberFormat="1" applyFont="1" applyFill="1" applyBorder="1" applyAlignment="1">
      <alignment horizontal="center" vertical="center"/>
      <protection/>
    </xf>
    <xf numFmtId="4" fontId="3" fillId="14" borderId="19" xfId="67" applyNumberFormat="1" applyFont="1" applyFill="1" applyBorder="1" applyAlignment="1">
      <alignment/>
      <protection/>
    </xf>
    <xf numFmtId="4" fontId="3" fillId="14" borderId="19" xfId="67" applyNumberFormat="1" applyFont="1" applyFill="1" applyBorder="1" applyAlignment="1">
      <alignment horizontal="right"/>
      <protection/>
    </xf>
    <xf numFmtId="0" fontId="3" fillId="14" borderId="0" xfId="0" applyFont="1" applyFill="1" applyBorder="1" applyAlignment="1">
      <alignment/>
    </xf>
    <xf numFmtId="4" fontId="3" fillId="14" borderId="0" xfId="0" applyNumberFormat="1" applyFont="1" applyFill="1" applyBorder="1" applyAlignment="1">
      <alignment horizontal="right" wrapText="1"/>
    </xf>
    <xf numFmtId="0" fontId="63" fillId="14" borderId="19" xfId="67" applyFont="1" applyFill="1" applyBorder="1" applyAlignment="1">
      <alignment horizontal="justify" vertical="justify" wrapText="1"/>
      <protection/>
    </xf>
    <xf numFmtId="49" fontId="60" fillId="33" borderId="23" xfId="65" applyNumberFormat="1" applyFont="1" applyFill="1" applyBorder="1" applyAlignment="1">
      <alignment horizontal="center" vertical="center" wrapText="1"/>
      <protection/>
    </xf>
    <xf numFmtId="0" fontId="61" fillId="33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61" fillId="33" borderId="14" xfId="66" applyNumberFormat="1" applyFont="1" applyFill="1" applyBorder="1" applyAlignment="1">
      <alignment horizontal="left" vertical="center"/>
      <protection/>
    </xf>
    <xf numFmtId="4" fontId="61" fillId="33" borderId="0" xfId="66" applyNumberFormat="1" applyFont="1" applyFill="1" applyBorder="1" applyAlignment="1">
      <alignment horizontal="left" vertical="center"/>
      <protection/>
    </xf>
    <xf numFmtId="4" fontId="61" fillId="33" borderId="15" xfId="66" applyNumberFormat="1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61" fillId="33" borderId="14" xfId="59" applyNumberFormat="1" applyFont="1" applyFill="1" applyBorder="1" applyAlignment="1">
      <alignment horizontal="left" vertical="center"/>
      <protection/>
    </xf>
    <xf numFmtId="4" fontId="61" fillId="33" borderId="0" xfId="59" applyNumberFormat="1" applyFont="1" applyFill="1" applyBorder="1" applyAlignment="1">
      <alignment horizontal="left" vertical="center"/>
      <protection/>
    </xf>
    <xf numFmtId="4" fontId="61" fillId="33" borderId="15" xfId="59" applyNumberFormat="1" applyFont="1" applyFill="1" applyBorder="1" applyAlignment="1">
      <alignment horizontal="left" vertical="center"/>
      <protection/>
    </xf>
    <xf numFmtId="0" fontId="5" fillId="33" borderId="16" xfId="66" applyFont="1" applyFill="1" applyBorder="1" applyAlignment="1">
      <alignment horizontal="left"/>
      <protection/>
    </xf>
    <xf numFmtId="0" fontId="5" fillId="33" borderId="17" xfId="66" applyFont="1" applyFill="1" applyBorder="1" applyAlignment="1">
      <alignment horizontal="left"/>
      <protection/>
    </xf>
    <xf numFmtId="0" fontId="5" fillId="33" borderId="18" xfId="66" applyFont="1" applyFill="1" applyBorder="1" applyAlignment="1">
      <alignment horizontal="left"/>
      <protection/>
    </xf>
    <xf numFmtId="0" fontId="62" fillId="0" borderId="12" xfId="0" applyFont="1" applyBorder="1" applyAlignment="1">
      <alignment horizontal="left" vertical="justify"/>
    </xf>
    <xf numFmtId="49" fontId="64" fillId="33" borderId="23" xfId="65" applyNumberFormat="1" applyFont="1" applyFill="1" applyBorder="1" applyAlignment="1">
      <alignment horizontal="center" vertical="center" wrapText="1"/>
      <protection/>
    </xf>
    <xf numFmtId="0" fontId="65" fillId="33" borderId="21" xfId="0" applyFont="1" applyFill="1" applyBorder="1" applyAlignment="1">
      <alignment horizontal="center" vertical="center" wrapText="1"/>
    </xf>
    <xf numFmtId="44" fontId="9" fillId="0" borderId="11" xfId="59" applyNumberFormat="1" applyFont="1" applyBorder="1" applyAlignment="1">
      <alignment horizontal="center" vertical="center" wrapText="1" readingOrder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0" fontId="10" fillId="0" borderId="20" xfId="62" applyFont="1" applyBorder="1" applyAlignment="1">
      <alignment horizontal="center" wrapText="1"/>
      <protection/>
    </xf>
    <xf numFmtId="0" fontId="10" fillId="0" borderId="24" xfId="62" applyFont="1" applyBorder="1" applyAlignment="1">
      <alignment horizontal="center" wrapText="1"/>
      <protection/>
    </xf>
    <xf numFmtId="0" fontId="10" fillId="0" borderId="25" xfId="62" applyFont="1" applyBorder="1" applyAlignment="1">
      <alignment horizontal="center" wrapText="1"/>
      <protection/>
    </xf>
    <xf numFmtId="0" fontId="10" fillId="0" borderId="23" xfId="62" applyFont="1" applyBorder="1" applyAlignment="1">
      <alignment horizontal="center"/>
      <protection/>
    </xf>
    <xf numFmtId="0" fontId="10" fillId="0" borderId="22" xfId="62" applyFont="1" applyBorder="1" applyAlignment="1">
      <alignment horizontal="center"/>
      <protection/>
    </xf>
    <xf numFmtId="0" fontId="9" fillId="0" borderId="23" xfId="62" applyFont="1" applyBorder="1" applyAlignment="1">
      <alignment horizontal="left" vertical="top"/>
      <protection/>
    </xf>
    <xf numFmtId="0" fontId="9" fillId="0" borderId="22" xfId="62" applyFont="1" applyBorder="1" applyAlignment="1">
      <alignment horizontal="left" vertical="top"/>
      <protection/>
    </xf>
    <xf numFmtId="10" fontId="9" fillId="0" borderId="23" xfId="71" applyNumberFormat="1" applyFont="1" applyBorder="1" applyAlignment="1">
      <alignment horizontal="center"/>
    </xf>
    <xf numFmtId="10" fontId="9" fillId="0" borderId="22" xfId="71" applyNumberFormat="1" applyFont="1" applyBorder="1" applyAlignment="1">
      <alignment horizontal="center"/>
    </xf>
    <xf numFmtId="39" fontId="9" fillId="0" borderId="23" xfId="62" applyNumberFormat="1" applyFont="1" applyBorder="1" applyAlignment="1">
      <alignment horizontal="center"/>
      <protection/>
    </xf>
    <xf numFmtId="39" fontId="9" fillId="0" borderId="22" xfId="62" applyNumberFormat="1" applyFont="1" applyBorder="1" applyAlignment="1">
      <alignment horizontal="center"/>
      <protection/>
    </xf>
    <xf numFmtId="0" fontId="9" fillId="0" borderId="19" xfId="63" applyFont="1" applyFill="1" applyBorder="1" applyAlignment="1">
      <alignment horizontal="center" vertical="top"/>
      <protection/>
    </xf>
    <xf numFmtId="1" fontId="9" fillId="0" borderId="23" xfId="62" applyNumberFormat="1" applyFont="1" applyBorder="1" applyAlignment="1">
      <alignment horizontal="left" vertical="top"/>
      <protection/>
    </xf>
    <xf numFmtId="1" fontId="9" fillId="0" borderId="22" xfId="62" applyNumberFormat="1" applyFont="1" applyBorder="1" applyAlignment="1">
      <alignment horizontal="left" vertical="top"/>
      <protection/>
    </xf>
    <xf numFmtId="4" fontId="9" fillId="0" borderId="23" xfId="64" applyNumberFormat="1" applyFont="1" applyBorder="1" applyAlignment="1">
      <alignment horizontal="center"/>
      <protection/>
    </xf>
    <xf numFmtId="4" fontId="9" fillId="0" borderId="22" xfId="64" applyNumberFormat="1" applyFont="1" applyBorder="1" applyAlignment="1">
      <alignment horizontal="center"/>
      <protection/>
    </xf>
    <xf numFmtId="44" fontId="9" fillId="0" borderId="14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14" xfId="59" applyNumberFormat="1" applyFont="1" applyFill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14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4" fontId="8" fillId="0" borderId="14" xfId="59" applyNumberFormat="1" applyFont="1" applyFill="1" applyBorder="1" applyAlignment="1">
      <alignment horizontal="center" vertical="center" wrapText="1"/>
      <protection/>
    </xf>
    <xf numFmtId="4" fontId="8" fillId="0" borderId="0" xfId="59" applyNumberFormat="1" applyFont="1" applyFill="1" applyBorder="1" applyAlignment="1">
      <alignment horizontal="center" vertical="center" wrapText="1"/>
      <protection/>
    </xf>
    <xf numFmtId="4" fontId="8" fillId="0" borderId="14" xfId="66" applyNumberFormat="1" applyFont="1" applyFill="1" applyBorder="1" applyAlignment="1">
      <alignment horizontal="center" vertical="center" wrapText="1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6" xfId="66" applyNumberFormat="1" applyFont="1" applyFill="1" applyBorder="1" applyAlignment="1">
      <alignment horizontal="center" vertical="center" wrapText="1"/>
      <protection/>
    </xf>
    <xf numFmtId="4" fontId="8" fillId="0" borderId="17" xfId="66" applyNumberFormat="1" applyFont="1" applyFill="1" applyBorder="1" applyAlignment="1">
      <alignment horizontal="center" vertical="center" wrapText="1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_CRONOGRAMA" xfId="62"/>
    <cellStyle name="Normal_CRUZEI~1" xfId="63"/>
    <cellStyle name="Normal_Orçamento nº057-2003- Esc. Munic. AMPARO revisão" xfId="64"/>
    <cellStyle name="Normal_P_Getulio Vargas" xfId="65"/>
    <cellStyle name="Normal_P_Getulio Vargas 2" xfId="66"/>
    <cellStyle name="Normal_RUAS 3,4,7 e 8 R-1" xfId="67"/>
    <cellStyle name="Normal_RUAS 3,4,7 e 8 R-1 2 2" xfId="68"/>
    <cellStyle name="Nota" xfId="69"/>
    <cellStyle name="Percent" xfId="70"/>
    <cellStyle name="Porcentagem 2" xfId="71"/>
    <cellStyle name="Porcentagem 3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1 1_PLAN   (2)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171450</xdr:rowOff>
    </xdr:from>
    <xdr:to>
      <xdr:col>8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1181100"/>
          <a:ext cx="2076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"/>
  <sheetViews>
    <sheetView view="pageBreakPreview" zoomScale="70" zoomScaleSheetLayoutView="70" zoomScalePageLayoutView="0" workbookViewId="0" topLeftCell="A1">
      <selection activeCell="A10" sqref="A10:A11"/>
    </sheetView>
  </sheetViews>
  <sheetFormatPr defaultColWidth="9.140625" defaultRowHeight="15"/>
  <cols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8" width="17.421875" style="0" customWidth="1"/>
    <col min="9" max="9" width="17.140625" style="0" bestFit="1" customWidth="1"/>
    <col min="11" max="11" width="13.8515625" style="0" bestFit="1" customWidth="1"/>
    <col min="12" max="12" width="11.0039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4" t="s">
        <v>106</v>
      </c>
      <c r="E3" s="125"/>
      <c r="F3" s="125"/>
      <c r="G3" s="126"/>
    </row>
    <row r="4" spans="1:7" ht="15.75" customHeight="1">
      <c r="A4" s="9"/>
      <c r="B4" s="10"/>
      <c r="C4" s="16" t="s">
        <v>274</v>
      </c>
      <c r="D4" s="127" t="s">
        <v>276</v>
      </c>
      <c r="E4" s="128"/>
      <c r="F4" s="128"/>
      <c r="G4" s="129"/>
    </row>
    <row r="5" spans="1:7" ht="15.75">
      <c r="A5" s="9"/>
      <c r="B5" s="10"/>
      <c r="C5" s="40" t="s">
        <v>696</v>
      </c>
      <c r="D5" s="130" t="s">
        <v>195</v>
      </c>
      <c r="E5" s="131"/>
      <c r="F5" s="131"/>
      <c r="G5" s="132"/>
    </row>
    <row r="6" spans="1:7" ht="15.75">
      <c r="A6" s="9"/>
      <c r="B6" s="10"/>
      <c r="C6" s="17" t="s">
        <v>657</v>
      </c>
      <c r="D6" s="133" t="s">
        <v>196</v>
      </c>
      <c r="E6" s="134"/>
      <c r="F6" s="134"/>
      <c r="G6" s="135"/>
    </row>
    <row r="7" spans="1:7" ht="15.75">
      <c r="A7" s="9"/>
      <c r="B7" s="10"/>
      <c r="C7" s="41"/>
      <c r="D7" s="133" t="s">
        <v>197</v>
      </c>
      <c r="E7" s="134"/>
      <c r="F7" s="134"/>
      <c r="G7" s="135"/>
    </row>
    <row r="8" spans="1:7" ht="15.75">
      <c r="A8" s="18"/>
      <c r="B8" s="19"/>
      <c r="C8" s="20"/>
      <c r="D8" s="136" t="s">
        <v>65</v>
      </c>
      <c r="E8" s="137"/>
      <c r="F8" s="137"/>
      <c r="G8" s="138"/>
    </row>
    <row r="9" spans="1:7" ht="15">
      <c r="A9" s="118" t="s">
        <v>699</v>
      </c>
      <c r="B9" s="119"/>
      <c r="C9" s="119"/>
      <c r="D9" s="119"/>
      <c r="E9" s="119"/>
      <c r="F9" s="119"/>
      <c r="G9" s="119"/>
    </row>
    <row r="10" spans="1:9" s="43" customFormat="1" ht="12.75" customHeight="1">
      <c r="A10" s="120" t="s">
        <v>29</v>
      </c>
      <c r="B10" s="121" t="s">
        <v>66</v>
      </c>
      <c r="C10" s="121" t="s">
        <v>30</v>
      </c>
      <c r="D10" s="120" t="s">
        <v>12</v>
      </c>
      <c r="E10" s="122" t="s">
        <v>31</v>
      </c>
      <c r="F10" s="123" t="s">
        <v>32</v>
      </c>
      <c r="G10" s="123"/>
      <c r="H10" s="123"/>
      <c r="I10" s="123"/>
    </row>
    <row r="11" spans="1:10" s="43" customFormat="1" ht="12.75" customHeight="1">
      <c r="A11" s="120"/>
      <c r="B11" s="121"/>
      <c r="C11" s="121"/>
      <c r="D11" s="120"/>
      <c r="E11" s="122"/>
      <c r="F11" s="44" t="s">
        <v>111</v>
      </c>
      <c r="G11" s="44" t="s">
        <v>112</v>
      </c>
      <c r="H11" s="44" t="s">
        <v>113</v>
      </c>
      <c r="I11" s="42" t="s">
        <v>114</v>
      </c>
      <c r="J11" s="43" t="s">
        <v>114</v>
      </c>
    </row>
    <row r="12" spans="1:9" s="38" customFormat="1" ht="15.75">
      <c r="A12" s="38" t="s">
        <v>18</v>
      </c>
      <c r="B12" s="46"/>
      <c r="C12" s="47" t="s">
        <v>19</v>
      </c>
      <c r="D12" s="47"/>
      <c r="E12" s="47"/>
      <c r="F12" s="47"/>
      <c r="G12" s="47"/>
      <c r="H12" s="47"/>
      <c r="I12" s="45"/>
    </row>
    <row r="13" spans="1:11" s="92" customFormat="1" ht="42.75">
      <c r="A13" s="85" t="s">
        <v>8</v>
      </c>
      <c r="B13" s="86" t="s">
        <v>107</v>
      </c>
      <c r="C13" s="94" t="s">
        <v>108</v>
      </c>
      <c r="D13" s="88" t="s">
        <v>0</v>
      </c>
      <c r="E13" s="95">
        <v>6</v>
      </c>
      <c r="F13" s="89">
        <f>TRUNC(G19,2)</f>
        <v>165.34</v>
      </c>
      <c r="G13" s="90">
        <f>TRUNC(F13*1.2977,2)</f>
        <v>214.56</v>
      </c>
      <c r="H13" s="90">
        <f>TRUNC(F13*E13,2)</f>
        <v>992.04</v>
      </c>
      <c r="I13" s="91">
        <f>TRUNC(E13*G13,2)</f>
        <v>1287.36</v>
      </c>
      <c r="J13" s="92">
        <v>1287.36</v>
      </c>
      <c r="K13" s="93"/>
    </row>
    <row r="14" spans="1:11" s="62" customFormat="1" ht="28.5">
      <c r="A14" s="54"/>
      <c r="B14" s="55" t="s">
        <v>109</v>
      </c>
      <c r="C14" s="56" t="s">
        <v>110</v>
      </c>
      <c r="D14" s="57" t="s">
        <v>0</v>
      </c>
      <c r="E14" s="58">
        <v>1</v>
      </c>
      <c r="F14" s="59">
        <f>TRUNC(68.73,2)</f>
        <v>68.73</v>
      </c>
      <c r="G14" s="60">
        <f>TRUNC(E14*F14,2)</f>
        <v>68.73</v>
      </c>
      <c r="H14" s="60"/>
      <c r="I14" s="61"/>
      <c r="K14" s="63"/>
    </row>
    <row r="15" spans="1:11" s="62" customFormat="1" ht="28.5">
      <c r="A15" s="54"/>
      <c r="B15" s="55" t="s">
        <v>4</v>
      </c>
      <c r="C15" s="56" t="s">
        <v>71</v>
      </c>
      <c r="D15" s="57" t="s">
        <v>5</v>
      </c>
      <c r="E15" s="58">
        <v>0.3</v>
      </c>
      <c r="F15" s="59">
        <f>TRUNC(8.39,2)</f>
        <v>8.39</v>
      </c>
      <c r="G15" s="60">
        <f>TRUNC(E15*F15,2)</f>
        <v>2.51</v>
      </c>
      <c r="H15" s="60"/>
      <c r="I15" s="61"/>
      <c r="K15" s="63"/>
    </row>
    <row r="16" spans="1:11" s="62" customFormat="1" ht="14.25">
      <c r="A16" s="54"/>
      <c r="B16" s="55" t="s">
        <v>2</v>
      </c>
      <c r="C16" s="56" t="s">
        <v>458</v>
      </c>
      <c r="D16" s="57" t="s">
        <v>3</v>
      </c>
      <c r="E16" s="58">
        <v>9.2</v>
      </c>
      <c r="F16" s="59">
        <f>TRUNC(3.25,2)</f>
        <v>3.25</v>
      </c>
      <c r="G16" s="60">
        <f>TRUNC(E16*F16,2)</f>
        <v>29.9</v>
      </c>
      <c r="H16" s="60"/>
      <c r="I16" s="61"/>
      <c r="K16" s="63"/>
    </row>
    <row r="17" spans="1:11" s="62" customFormat="1" ht="28.5">
      <c r="A17" s="54"/>
      <c r="B17" s="55" t="s">
        <v>72</v>
      </c>
      <c r="C17" s="56" t="s">
        <v>73</v>
      </c>
      <c r="D17" s="57" t="s">
        <v>6</v>
      </c>
      <c r="E17" s="58">
        <v>2.06</v>
      </c>
      <c r="F17" s="59">
        <f>TRUNC(12.54,2)</f>
        <v>12.54</v>
      </c>
      <c r="G17" s="60">
        <f>TRUNC(E17*F17,2)</f>
        <v>25.83</v>
      </c>
      <c r="H17" s="60"/>
      <c r="I17" s="61"/>
      <c r="K17" s="63"/>
    </row>
    <row r="18" spans="1:11" s="62" customFormat="1" ht="28.5">
      <c r="A18" s="54"/>
      <c r="B18" s="55" t="s">
        <v>76</v>
      </c>
      <c r="C18" s="56" t="s">
        <v>77</v>
      </c>
      <c r="D18" s="57" t="s">
        <v>6</v>
      </c>
      <c r="E18" s="58">
        <v>2.06</v>
      </c>
      <c r="F18" s="59">
        <f>TRUNC(18.63,2)</f>
        <v>18.63</v>
      </c>
      <c r="G18" s="60">
        <f>TRUNC(E18*F18,2)</f>
        <v>38.37</v>
      </c>
      <c r="H18" s="60"/>
      <c r="I18" s="61"/>
      <c r="K18" s="63"/>
    </row>
    <row r="19" spans="1:11" s="62" customFormat="1" ht="14.25">
      <c r="A19" s="54"/>
      <c r="B19" s="55"/>
      <c r="C19" s="56"/>
      <c r="D19" s="57"/>
      <c r="E19" s="58" t="s">
        <v>7</v>
      </c>
      <c r="F19" s="59"/>
      <c r="G19" s="60">
        <f>TRUNC(SUM(G14:G18),2)</f>
        <v>165.34</v>
      </c>
      <c r="H19" s="60"/>
      <c r="I19" s="61"/>
      <c r="K19" s="63"/>
    </row>
    <row r="20" spans="1:12" s="92" customFormat="1" ht="57">
      <c r="A20" s="85" t="s">
        <v>9</v>
      </c>
      <c r="B20" s="86" t="s">
        <v>198</v>
      </c>
      <c r="C20" s="87" t="s">
        <v>199</v>
      </c>
      <c r="D20" s="88" t="s">
        <v>0</v>
      </c>
      <c r="E20" s="114">
        <v>110.09</v>
      </c>
      <c r="F20" s="89">
        <f>TRUNC(G26,2)</f>
        <v>16.81</v>
      </c>
      <c r="G20" s="90">
        <f>TRUNC(F20*1.2977,2)</f>
        <v>21.81</v>
      </c>
      <c r="H20" s="90">
        <f>TRUNC(F20*E20,2)</f>
        <v>1850.61</v>
      </c>
      <c r="I20" s="91">
        <f>TRUNC(E20*G20,2)</f>
        <v>2401.06</v>
      </c>
      <c r="J20" s="92">
        <v>1090.37</v>
      </c>
      <c r="K20" s="93"/>
      <c r="L20" s="92">
        <f>73.4*2.2</f>
        <v>161.48000000000002</v>
      </c>
    </row>
    <row r="21" spans="1:11" s="62" customFormat="1" ht="14.25">
      <c r="A21" s="54"/>
      <c r="B21" s="55" t="s">
        <v>200</v>
      </c>
      <c r="C21" s="64" t="s">
        <v>201</v>
      </c>
      <c r="D21" s="57" t="s">
        <v>0</v>
      </c>
      <c r="E21" s="59">
        <v>0.2625</v>
      </c>
      <c r="F21" s="59">
        <f>TRUNC(28.16,2)</f>
        <v>28.16</v>
      </c>
      <c r="G21" s="60">
        <f>TRUNC(E21*F21,2)</f>
        <v>7.39</v>
      </c>
      <c r="H21" s="60"/>
      <c r="I21" s="61"/>
      <c r="K21" s="63"/>
    </row>
    <row r="22" spans="1:11" s="62" customFormat="1" ht="28.5">
      <c r="A22" s="54"/>
      <c r="B22" s="55" t="s">
        <v>4</v>
      </c>
      <c r="C22" s="64" t="s">
        <v>71</v>
      </c>
      <c r="D22" s="57" t="s">
        <v>5</v>
      </c>
      <c r="E22" s="59">
        <v>0.05</v>
      </c>
      <c r="F22" s="59">
        <f>TRUNC(8.39,2)</f>
        <v>8.39</v>
      </c>
      <c r="G22" s="60">
        <f>TRUNC(E22*F22,2)</f>
        <v>0.41</v>
      </c>
      <c r="H22" s="60"/>
      <c r="I22" s="61"/>
      <c r="K22" s="63"/>
    </row>
    <row r="23" spans="1:11" s="62" customFormat="1" ht="14.25">
      <c r="A23" s="54"/>
      <c r="B23" s="55" t="s">
        <v>2</v>
      </c>
      <c r="C23" s="64" t="s">
        <v>458</v>
      </c>
      <c r="D23" s="57" t="s">
        <v>3</v>
      </c>
      <c r="E23" s="59">
        <v>0.8</v>
      </c>
      <c r="F23" s="59">
        <f>TRUNC(3.25,2)</f>
        <v>3.25</v>
      </c>
      <c r="G23" s="60">
        <f>TRUNC(E23*F23,2)</f>
        <v>2.6</v>
      </c>
      <c r="H23" s="60"/>
      <c r="I23" s="61"/>
      <c r="K23" s="63"/>
    </row>
    <row r="24" spans="1:11" s="62" customFormat="1" ht="28.5">
      <c r="A24" s="54"/>
      <c r="B24" s="55" t="s">
        <v>72</v>
      </c>
      <c r="C24" s="64" t="s">
        <v>73</v>
      </c>
      <c r="D24" s="57" t="s">
        <v>6</v>
      </c>
      <c r="E24" s="59">
        <v>0.20600000000000002</v>
      </c>
      <c r="F24" s="59">
        <f>TRUNC(12.54,2)</f>
        <v>12.54</v>
      </c>
      <c r="G24" s="60">
        <f>TRUNC(E24*F24,2)</f>
        <v>2.58</v>
      </c>
      <c r="H24" s="60"/>
      <c r="I24" s="61"/>
      <c r="K24" s="63"/>
    </row>
    <row r="25" spans="1:11" s="62" customFormat="1" ht="28.5">
      <c r="A25" s="54"/>
      <c r="B25" s="55" t="s">
        <v>76</v>
      </c>
      <c r="C25" s="64" t="s">
        <v>77</v>
      </c>
      <c r="D25" s="57" t="s">
        <v>6</v>
      </c>
      <c r="E25" s="59">
        <v>0.20600000000000002</v>
      </c>
      <c r="F25" s="59">
        <f>TRUNC(18.63,2)</f>
        <v>18.63</v>
      </c>
      <c r="G25" s="60">
        <f>TRUNC(E25*F25,2)</f>
        <v>3.83</v>
      </c>
      <c r="H25" s="60"/>
      <c r="I25" s="61"/>
      <c r="K25" s="63"/>
    </row>
    <row r="26" spans="1:11" s="62" customFormat="1" ht="14.25">
      <c r="A26" s="54"/>
      <c r="B26" s="55"/>
      <c r="C26" s="64"/>
      <c r="D26" s="57"/>
      <c r="E26" s="59" t="s">
        <v>7</v>
      </c>
      <c r="F26" s="59"/>
      <c r="G26" s="60">
        <f>TRUNC(SUM(G21:G25),2)</f>
        <v>16.81</v>
      </c>
      <c r="H26" s="60"/>
      <c r="I26" s="61"/>
      <c r="K26" s="63"/>
    </row>
    <row r="27" spans="1:11" s="92" customFormat="1" ht="57">
      <c r="A27" s="85" t="s">
        <v>10</v>
      </c>
      <c r="B27" s="86" t="s">
        <v>144</v>
      </c>
      <c r="C27" s="87" t="s">
        <v>145</v>
      </c>
      <c r="D27" s="88" t="s">
        <v>0</v>
      </c>
      <c r="E27" s="89">
        <v>8</v>
      </c>
      <c r="F27" s="89">
        <f>TRUNC(G45,2)</f>
        <v>328.47</v>
      </c>
      <c r="G27" s="90">
        <f>TRUNC(F27*1.2977,2)</f>
        <v>426.25</v>
      </c>
      <c r="H27" s="90">
        <f>TRUNC(F27*E27,2)</f>
        <v>2627.76</v>
      </c>
      <c r="I27" s="91">
        <f>TRUNC(E27*G27,2)</f>
        <v>3410</v>
      </c>
      <c r="J27" s="92">
        <v>3618.64</v>
      </c>
      <c r="K27" s="93"/>
    </row>
    <row r="28" spans="1:11" s="62" customFormat="1" ht="28.5">
      <c r="A28" s="54"/>
      <c r="B28" s="55" t="s">
        <v>146</v>
      </c>
      <c r="C28" s="64" t="s">
        <v>147</v>
      </c>
      <c r="D28" s="57" t="s">
        <v>12</v>
      </c>
      <c r="E28" s="59">
        <v>0.06</v>
      </c>
      <c r="F28" s="59">
        <f>TRUNC(7.72,2)</f>
        <v>7.72</v>
      </c>
      <c r="G28" s="60">
        <f aca="true" t="shared" si="0" ref="G28:G44">TRUNC(E28*F28,2)</f>
        <v>0.46</v>
      </c>
      <c r="H28" s="60"/>
      <c r="I28" s="61"/>
      <c r="K28" s="63"/>
    </row>
    <row r="29" spans="1:11" s="62" customFormat="1" ht="14.25">
      <c r="A29" s="54"/>
      <c r="B29" s="55" t="s">
        <v>2</v>
      </c>
      <c r="C29" s="64" t="s">
        <v>458</v>
      </c>
      <c r="D29" s="57" t="s">
        <v>3</v>
      </c>
      <c r="E29" s="59">
        <v>2</v>
      </c>
      <c r="F29" s="59">
        <f>TRUNC(3.25,2)</f>
        <v>3.25</v>
      </c>
      <c r="G29" s="60">
        <f t="shared" si="0"/>
        <v>6.5</v>
      </c>
      <c r="H29" s="60"/>
      <c r="I29" s="61"/>
      <c r="K29" s="63"/>
    </row>
    <row r="30" spans="1:11" s="62" customFormat="1" ht="28.5">
      <c r="A30" s="54"/>
      <c r="B30" s="55" t="s">
        <v>4</v>
      </c>
      <c r="C30" s="64" t="s">
        <v>71</v>
      </c>
      <c r="D30" s="57" t="s">
        <v>5</v>
      </c>
      <c r="E30" s="59">
        <v>0.12</v>
      </c>
      <c r="F30" s="59">
        <f>TRUNC(8.39,2)</f>
        <v>8.39</v>
      </c>
      <c r="G30" s="60">
        <f t="shared" si="0"/>
        <v>1</v>
      </c>
      <c r="H30" s="60"/>
      <c r="I30" s="61"/>
      <c r="K30" s="63"/>
    </row>
    <row r="31" spans="1:11" s="62" customFormat="1" ht="14.25">
      <c r="A31" s="54"/>
      <c r="B31" s="55" t="s">
        <v>148</v>
      </c>
      <c r="C31" s="64" t="s">
        <v>149</v>
      </c>
      <c r="D31" s="57" t="s">
        <v>12</v>
      </c>
      <c r="E31" s="59">
        <v>0.17170000000000002</v>
      </c>
      <c r="F31" s="59">
        <f>TRUNC(2.2,2)</f>
        <v>2.2</v>
      </c>
      <c r="G31" s="60">
        <f t="shared" si="0"/>
        <v>0.37</v>
      </c>
      <c r="H31" s="60"/>
      <c r="I31" s="61"/>
      <c r="K31" s="63"/>
    </row>
    <row r="32" spans="1:11" s="62" customFormat="1" ht="14.25">
      <c r="A32" s="54"/>
      <c r="B32" s="55" t="s">
        <v>150</v>
      </c>
      <c r="C32" s="64" t="s">
        <v>81</v>
      </c>
      <c r="D32" s="57" t="s">
        <v>0</v>
      </c>
      <c r="E32" s="59">
        <v>0.06</v>
      </c>
      <c r="F32" s="59">
        <f>TRUNC(38,2)</f>
        <v>38</v>
      </c>
      <c r="G32" s="60">
        <f t="shared" si="0"/>
        <v>2.28</v>
      </c>
      <c r="H32" s="60"/>
      <c r="I32" s="61"/>
      <c r="K32" s="63"/>
    </row>
    <row r="33" spans="1:11" s="62" customFormat="1" ht="14.25">
      <c r="A33" s="54"/>
      <c r="B33" s="55" t="s">
        <v>151</v>
      </c>
      <c r="C33" s="64" t="s">
        <v>79</v>
      </c>
      <c r="D33" s="57" t="s">
        <v>12</v>
      </c>
      <c r="E33" s="59">
        <v>0.0808</v>
      </c>
      <c r="F33" s="59">
        <f>TRUNC(5.64,2)</f>
        <v>5.64</v>
      </c>
      <c r="G33" s="60">
        <f t="shared" si="0"/>
        <v>0.45</v>
      </c>
      <c r="H33" s="60"/>
      <c r="I33" s="61"/>
      <c r="K33" s="63"/>
    </row>
    <row r="34" spans="1:11" s="62" customFormat="1" ht="14.25">
      <c r="A34" s="54"/>
      <c r="B34" s="55" t="s">
        <v>152</v>
      </c>
      <c r="C34" s="64" t="s">
        <v>78</v>
      </c>
      <c r="D34" s="57" t="s">
        <v>3</v>
      </c>
      <c r="E34" s="59">
        <v>0.505</v>
      </c>
      <c r="F34" s="59">
        <f>TRUNC(1.9094,2)</f>
        <v>1.9</v>
      </c>
      <c r="G34" s="60">
        <f t="shared" si="0"/>
        <v>0.95</v>
      </c>
      <c r="H34" s="60"/>
      <c r="I34" s="61"/>
      <c r="K34" s="63"/>
    </row>
    <row r="35" spans="1:11" s="62" customFormat="1" ht="14.25">
      <c r="A35" s="54"/>
      <c r="B35" s="55" t="s">
        <v>153</v>
      </c>
      <c r="C35" s="64" t="s">
        <v>80</v>
      </c>
      <c r="D35" s="57" t="s">
        <v>12</v>
      </c>
      <c r="E35" s="59">
        <v>0.95</v>
      </c>
      <c r="F35" s="59">
        <f>TRUNC(1.01,2)</f>
        <v>1.01</v>
      </c>
      <c r="G35" s="60">
        <f t="shared" si="0"/>
        <v>0.95</v>
      </c>
      <c r="H35" s="60"/>
      <c r="I35" s="61"/>
      <c r="K35" s="63"/>
    </row>
    <row r="36" spans="1:11" s="62" customFormat="1" ht="14.25">
      <c r="A36" s="54"/>
      <c r="B36" s="55" t="s">
        <v>154</v>
      </c>
      <c r="C36" s="64" t="s">
        <v>642</v>
      </c>
      <c r="D36" s="57" t="s">
        <v>12</v>
      </c>
      <c r="E36" s="59">
        <v>0.17</v>
      </c>
      <c r="F36" s="59">
        <f>TRUNC(19.9,2)</f>
        <v>19.9</v>
      </c>
      <c r="G36" s="60">
        <f t="shared" si="0"/>
        <v>3.38</v>
      </c>
      <c r="H36" s="60"/>
      <c r="I36" s="61"/>
      <c r="K36" s="63"/>
    </row>
    <row r="37" spans="1:11" s="62" customFormat="1" ht="14.25">
      <c r="A37" s="54"/>
      <c r="B37" s="55" t="s">
        <v>155</v>
      </c>
      <c r="C37" s="64" t="s">
        <v>641</v>
      </c>
      <c r="D37" s="57" t="s">
        <v>12</v>
      </c>
      <c r="E37" s="59">
        <v>0.08</v>
      </c>
      <c r="F37" s="59">
        <f>TRUNC(3.6,2)</f>
        <v>3.6</v>
      </c>
      <c r="G37" s="60">
        <f t="shared" si="0"/>
        <v>0.28</v>
      </c>
      <c r="H37" s="60"/>
      <c r="I37" s="61"/>
      <c r="K37" s="63"/>
    </row>
    <row r="38" spans="1:11" s="62" customFormat="1" ht="14.25">
      <c r="A38" s="54"/>
      <c r="B38" s="55" t="s">
        <v>156</v>
      </c>
      <c r="C38" s="64" t="s">
        <v>82</v>
      </c>
      <c r="D38" s="57" t="s">
        <v>12</v>
      </c>
      <c r="E38" s="59">
        <v>0.0808</v>
      </c>
      <c r="F38" s="59">
        <f>TRUNC(3.1,2)</f>
        <v>3.1</v>
      </c>
      <c r="G38" s="60">
        <f t="shared" si="0"/>
        <v>0.25</v>
      </c>
      <c r="H38" s="60"/>
      <c r="I38" s="61"/>
      <c r="K38" s="63"/>
    </row>
    <row r="39" spans="1:11" s="62" customFormat="1" ht="28.5">
      <c r="A39" s="54"/>
      <c r="B39" s="55" t="s">
        <v>157</v>
      </c>
      <c r="C39" s="64" t="s">
        <v>158</v>
      </c>
      <c r="D39" s="57" t="s">
        <v>12</v>
      </c>
      <c r="E39" s="59">
        <v>0.275</v>
      </c>
      <c r="F39" s="59">
        <f>TRUNC(41.92,2)</f>
        <v>41.92</v>
      </c>
      <c r="G39" s="60">
        <f t="shared" si="0"/>
        <v>11.52</v>
      </c>
      <c r="H39" s="60"/>
      <c r="I39" s="61"/>
      <c r="K39" s="63"/>
    </row>
    <row r="40" spans="1:11" s="62" customFormat="1" ht="14.25">
      <c r="A40" s="54"/>
      <c r="B40" s="55" t="s">
        <v>159</v>
      </c>
      <c r="C40" s="64" t="s">
        <v>160</v>
      </c>
      <c r="D40" s="57" t="s">
        <v>12</v>
      </c>
      <c r="E40" s="59">
        <v>0.0202</v>
      </c>
      <c r="F40" s="59">
        <f>TRUNC(8.56,2)</f>
        <v>8.56</v>
      </c>
      <c r="G40" s="60">
        <f t="shared" si="0"/>
        <v>0.17</v>
      </c>
      <c r="H40" s="60"/>
      <c r="I40" s="61"/>
      <c r="K40" s="63"/>
    </row>
    <row r="41" spans="1:11" s="62" customFormat="1" ht="28.5">
      <c r="A41" s="54"/>
      <c r="B41" s="55" t="s">
        <v>76</v>
      </c>
      <c r="C41" s="64" t="s">
        <v>77</v>
      </c>
      <c r="D41" s="57" t="s">
        <v>6</v>
      </c>
      <c r="E41" s="59">
        <v>8.137</v>
      </c>
      <c r="F41" s="59">
        <f>TRUNC(18.63,2)</f>
        <v>18.63</v>
      </c>
      <c r="G41" s="60">
        <f t="shared" si="0"/>
        <v>151.59</v>
      </c>
      <c r="H41" s="60"/>
      <c r="I41" s="61"/>
      <c r="K41" s="63"/>
    </row>
    <row r="42" spans="1:11" s="62" customFormat="1" ht="28.5">
      <c r="A42" s="54"/>
      <c r="B42" s="55" t="s">
        <v>83</v>
      </c>
      <c r="C42" s="64" t="s">
        <v>84</v>
      </c>
      <c r="D42" s="57" t="s">
        <v>6</v>
      </c>
      <c r="E42" s="59">
        <v>0.41200000000000003</v>
      </c>
      <c r="F42" s="59">
        <f>TRUNC(17.3,2)</f>
        <v>17.3</v>
      </c>
      <c r="G42" s="60">
        <f t="shared" si="0"/>
        <v>7.12</v>
      </c>
      <c r="H42" s="60"/>
      <c r="I42" s="61"/>
      <c r="K42" s="63"/>
    </row>
    <row r="43" spans="1:11" s="62" customFormat="1" ht="28.5">
      <c r="A43" s="54"/>
      <c r="B43" s="55" t="s">
        <v>72</v>
      </c>
      <c r="C43" s="64" t="s">
        <v>73</v>
      </c>
      <c r="D43" s="57" t="s">
        <v>6</v>
      </c>
      <c r="E43" s="59">
        <v>8.549000000000001</v>
      </c>
      <c r="F43" s="59">
        <f>TRUNC(12.54,2)</f>
        <v>12.54</v>
      </c>
      <c r="G43" s="60">
        <f t="shared" si="0"/>
        <v>107.2</v>
      </c>
      <c r="H43" s="60"/>
      <c r="I43" s="61"/>
      <c r="K43" s="63"/>
    </row>
    <row r="44" spans="1:11" s="62" customFormat="1" ht="14.25">
      <c r="A44" s="54"/>
      <c r="B44" s="55" t="s">
        <v>161</v>
      </c>
      <c r="C44" s="64" t="s">
        <v>433</v>
      </c>
      <c r="D44" s="57" t="s">
        <v>0</v>
      </c>
      <c r="E44" s="59">
        <v>1.65</v>
      </c>
      <c r="F44" s="59">
        <f>TRUNC(20.6164,2)</f>
        <v>20.61</v>
      </c>
      <c r="G44" s="60">
        <f t="shared" si="0"/>
        <v>34</v>
      </c>
      <c r="H44" s="60"/>
      <c r="I44" s="61"/>
      <c r="K44" s="63"/>
    </row>
    <row r="45" spans="1:11" s="62" customFormat="1" ht="14.25">
      <c r="A45" s="54"/>
      <c r="B45" s="55"/>
      <c r="C45" s="64"/>
      <c r="D45" s="57"/>
      <c r="E45" s="59" t="s">
        <v>7</v>
      </c>
      <c r="F45" s="59"/>
      <c r="G45" s="60">
        <f>TRUNC(SUM(G28:G44),2)</f>
        <v>328.47</v>
      </c>
      <c r="H45" s="60"/>
      <c r="I45" s="61"/>
      <c r="K45" s="63"/>
    </row>
    <row r="46" spans="1:11" s="92" customFormat="1" ht="14.25">
      <c r="A46" s="85" t="s">
        <v>11</v>
      </c>
      <c r="B46" s="86" t="s">
        <v>489</v>
      </c>
      <c r="C46" s="87" t="s">
        <v>490</v>
      </c>
      <c r="D46" s="88" t="s">
        <v>12</v>
      </c>
      <c r="E46" s="89">
        <v>1</v>
      </c>
      <c r="F46" s="89">
        <f>TRUNC(G66,2)</f>
        <v>1455.65</v>
      </c>
      <c r="G46" s="90">
        <f>TRUNC(F46*1.2977,2)</f>
        <v>1888.99</v>
      </c>
      <c r="H46" s="90">
        <f>TRUNC(F46*E46,2)</f>
        <v>1455.65</v>
      </c>
      <c r="I46" s="91">
        <f>TRUNC(E46*G46,2)</f>
        <v>1888.99</v>
      </c>
      <c r="J46" s="92">
        <v>1838.34</v>
      </c>
      <c r="K46" s="93"/>
    </row>
    <row r="47" spans="1:11" s="62" customFormat="1" ht="28.5">
      <c r="A47" s="54"/>
      <c r="B47" s="55" t="s">
        <v>491</v>
      </c>
      <c r="C47" s="64" t="s">
        <v>492</v>
      </c>
      <c r="D47" s="57" t="s">
        <v>3</v>
      </c>
      <c r="E47" s="59">
        <v>7.96</v>
      </c>
      <c r="F47" s="59">
        <f>TRUNC(54.28,2)</f>
        <v>54.28</v>
      </c>
      <c r="G47" s="60">
        <f aca="true" t="shared" si="1" ref="G47:G65">TRUNC(E47*F47,2)</f>
        <v>432.06</v>
      </c>
      <c r="H47" s="60"/>
      <c r="I47" s="61"/>
      <c r="K47" s="63"/>
    </row>
    <row r="48" spans="1:11" s="62" customFormat="1" ht="28.5">
      <c r="A48" s="54"/>
      <c r="B48" s="55" t="s">
        <v>493</v>
      </c>
      <c r="C48" s="64" t="s">
        <v>494</v>
      </c>
      <c r="D48" s="57" t="s">
        <v>12</v>
      </c>
      <c r="E48" s="59">
        <v>2</v>
      </c>
      <c r="F48" s="59">
        <f>TRUNC(20.75,2)</f>
        <v>20.75</v>
      </c>
      <c r="G48" s="60">
        <f t="shared" si="1"/>
        <v>41.5</v>
      </c>
      <c r="H48" s="60"/>
      <c r="I48" s="61"/>
      <c r="K48" s="63"/>
    </row>
    <row r="49" spans="1:11" s="62" customFormat="1" ht="14.25">
      <c r="A49" s="54"/>
      <c r="B49" s="55" t="s">
        <v>495</v>
      </c>
      <c r="C49" s="64" t="s">
        <v>496</v>
      </c>
      <c r="D49" s="57" t="s">
        <v>3</v>
      </c>
      <c r="E49" s="59">
        <v>3</v>
      </c>
      <c r="F49" s="59">
        <f>TRUNC(6.9,2)</f>
        <v>6.9</v>
      </c>
      <c r="G49" s="60">
        <f t="shared" si="1"/>
        <v>20.7</v>
      </c>
      <c r="H49" s="60"/>
      <c r="I49" s="61"/>
      <c r="K49" s="63"/>
    </row>
    <row r="50" spans="1:11" s="62" customFormat="1" ht="28.5">
      <c r="A50" s="54"/>
      <c r="B50" s="55" t="s">
        <v>497</v>
      </c>
      <c r="C50" s="64" t="s">
        <v>498</v>
      </c>
      <c r="D50" s="57" t="s">
        <v>3</v>
      </c>
      <c r="E50" s="59">
        <v>27</v>
      </c>
      <c r="F50" s="59">
        <f>TRUNC(5.24,2)</f>
        <v>5.24</v>
      </c>
      <c r="G50" s="60">
        <f t="shared" si="1"/>
        <v>141.48</v>
      </c>
      <c r="H50" s="60"/>
      <c r="I50" s="61"/>
      <c r="K50" s="63"/>
    </row>
    <row r="51" spans="1:11" s="62" customFormat="1" ht="28.5">
      <c r="A51" s="54"/>
      <c r="B51" s="55" t="s">
        <v>499</v>
      </c>
      <c r="C51" s="64" t="s">
        <v>500</v>
      </c>
      <c r="D51" s="57" t="s">
        <v>12</v>
      </c>
      <c r="E51" s="59">
        <v>1</v>
      </c>
      <c r="F51" s="59">
        <f>TRUNC(91.25,2)</f>
        <v>91.25</v>
      </c>
      <c r="G51" s="60">
        <f t="shared" si="1"/>
        <v>91.25</v>
      </c>
      <c r="H51" s="60"/>
      <c r="I51" s="61"/>
      <c r="K51" s="63"/>
    </row>
    <row r="52" spans="1:11" s="62" customFormat="1" ht="28.5">
      <c r="A52" s="54"/>
      <c r="B52" s="55" t="s">
        <v>501</v>
      </c>
      <c r="C52" s="64" t="s">
        <v>502</v>
      </c>
      <c r="D52" s="57" t="s">
        <v>12</v>
      </c>
      <c r="E52" s="59">
        <v>2</v>
      </c>
      <c r="F52" s="59">
        <f>TRUNC(68.88,2)</f>
        <v>68.88</v>
      </c>
      <c r="G52" s="60">
        <f t="shared" si="1"/>
        <v>137.76</v>
      </c>
      <c r="H52" s="60"/>
      <c r="I52" s="61"/>
      <c r="K52" s="63"/>
    </row>
    <row r="53" spans="1:11" s="62" customFormat="1" ht="14.25">
      <c r="A53" s="54"/>
      <c r="B53" s="55" t="s">
        <v>503</v>
      </c>
      <c r="C53" s="64" t="s">
        <v>504</v>
      </c>
      <c r="D53" s="57" t="s">
        <v>12</v>
      </c>
      <c r="E53" s="59">
        <v>8</v>
      </c>
      <c r="F53" s="59">
        <f>TRUNC(4.6,2)</f>
        <v>4.6</v>
      </c>
      <c r="G53" s="60">
        <f t="shared" si="1"/>
        <v>36.8</v>
      </c>
      <c r="H53" s="60"/>
      <c r="I53" s="61"/>
      <c r="K53" s="63"/>
    </row>
    <row r="54" spans="1:11" s="62" customFormat="1" ht="14.25">
      <c r="A54" s="54"/>
      <c r="B54" s="55" t="s">
        <v>505</v>
      </c>
      <c r="C54" s="64" t="s">
        <v>506</v>
      </c>
      <c r="D54" s="57" t="s">
        <v>12</v>
      </c>
      <c r="E54" s="59">
        <v>4</v>
      </c>
      <c r="F54" s="59">
        <f>TRUNC(1.22,2)</f>
        <v>1.22</v>
      </c>
      <c r="G54" s="60">
        <f t="shared" si="1"/>
        <v>4.88</v>
      </c>
      <c r="H54" s="60"/>
      <c r="I54" s="61"/>
      <c r="K54" s="63"/>
    </row>
    <row r="55" spans="1:11" s="62" customFormat="1" ht="14.25">
      <c r="A55" s="54"/>
      <c r="B55" s="55" t="s">
        <v>507</v>
      </c>
      <c r="C55" s="64" t="s">
        <v>508</v>
      </c>
      <c r="D55" s="57" t="s">
        <v>12</v>
      </c>
      <c r="E55" s="59">
        <v>0.1333333</v>
      </c>
      <c r="F55" s="59">
        <f>TRUNC(62.04,2)</f>
        <v>62.04</v>
      </c>
      <c r="G55" s="60">
        <f t="shared" si="1"/>
        <v>8.27</v>
      </c>
      <c r="H55" s="60"/>
      <c r="I55" s="61"/>
      <c r="K55" s="63"/>
    </row>
    <row r="56" spans="1:11" s="62" customFormat="1" ht="14.25">
      <c r="A56" s="54"/>
      <c r="B56" s="55" t="s">
        <v>509</v>
      </c>
      <c r="C56" s="64" t="s">
        <v>510</v>
      </c>
      <c r="D56" s="57" t="s">
        <v>3</v>
      </c>
      <c r="E56" s="59">
        <v>8</v>
      </c>
      <c r="F56" s="59">
        <f>TRUNC(5.11,2)</f>
        <v>5.11</v>
      </c>
      <c r="G56" s="60">
        <f t="shared" si="1"/>
        <v>40.88</v>
      </c>
      <c r="H56" s="60"/>
      <c r="I56" s="61"/>
      <c r="K56" s="63"/>
    </row>
    <row r="57" spans="1:11" s="62" customFormat="1" ht="28.5">
      <c r="A57" s="54"/>
      <c r="B57" s="55" t="s">
        <v>511</v>
      </c>
      <c r="C57" s="64" t="s">
        <v>512</v>
      </c>
      <c r="D57" s="57" t="s">
        <v>12</v>
      </c>
      <c r="E57" s="59">
        <v>1</v>
      </c>
      <c r="F57" s="59">
        <f>TRUNC(42.19,2)</f>
        <v>42.19</v>
      </c>
      <c r="G57" s="60">
        <f t="shared" si="1"/>
        <v>42.19</v>
      </c>
      <c r="H57" s="60"/>
      <c r="I57" s="61"/>
      <c r="K57" s="63"/>
    </row>
    <row r="58" spans="1:11" s="62" customFormat="1" ht="28.5">
      <c r="A58" s="54"/>
      <c r="B58" s="55" t="s">
        <v>513</v>
      </c>
      <c r="C58" s="64" t="s">
        <v>514</v>
      </c>
      <c r="D58" s="57" t="s">
        <v>12</v>
      </c>
      <c r="E58" s="59">
        <v>2</v>
      </c>
      <c r="F58" s="59">
        <f>TRUNC(6.32,2)</f>
        <v>6.32</v>
      </c>
      <c r="G58" s="60">
        <f t="shared" si="1"/>
        <v>12.64</v>
      </c>
      <c r="H58" s="60"/>
      <c r="I58" s="61"/>
      <c r="K58" s="63"/>
    </row>
    <row r="59" spans="1:11" s="62" customFormat="1" ht="28.5">
      <c r="A59" s="54"/>
      <c r="B59" s="55" t="s">
        <v>515</v>
      </c>
      <c r="C59" s="64" t="s">
        <v>516</v>
      </c>
      <c r="D59" s="57" t="s">
        <v>12</v>
      </c>
      <c r="E59" s="59">
        <v>2</v>
      </c>
      <c r="F59" s="59">
        <f>TRUNC(7.27,2)</f>
        <v>7.27</v>
      </c>
      <c r="G59" s="60">
        <f t="shared" si="1"/>
        <v>14.54</v>
      </c>
      <c r="H59" s="60"/>
      <c r="I59" s="61"/>
      <c r="K59" s="63"/>
    </row>
    <row r="60" spans="1:11" s="62" customFormat="1" ht="14.25">
      <c r="A60" s="54"/>
      <c r="B60" s="55" t="s">
        <v>517</v>
      </c>
      <c r="C60" s="64" t="s">
        <v>518</v>
      </c>
      <c r="D60" s="57" t="s">
        <v>12</v>
      </c>
      <c r="E60" s="59">
        <v>2</v>
      </c>
      <c r="F60" s="59">
        <f>TRUNC(3.46,2)</f>
        <v>3.46</v>
      </c>
      <c r="G60" s="60">
        <f t="shared" si="1"/>
        <v>6.92</v>
      </c>
      <c r="H60" s="60"/>
      <c r="I60" s="61"/>
      <c r="K60" s="63"/>
    </row>
    <row r="61" spans="1:11" s="62" customFormat="1" ht="14.25">
      <c r="A61" s="54"/>
      <c r="B61" s="55" t="s">
        <v>519</v>
      </c>
      <c r="C61" s="64" t="s">
        <v>520</v>
      </c>
      <c r="D61" s="57" t="s">
        <v>12</v>
      </c>
      <c r="E61" s="59">
        <v>2</v>
      </c>
      <c r="F61" s="59">
        <f>TRUNC(0.93,2)</f>
        <v>0.93</v>
      </c>
      <c r="G61" s="60">
        <f t="shared" si="1"/>
        <v>1.86</v>
      </c>
      <c r="H61" s="60"/>
      <c r="I61" s="61"/>
      <c r="K61" s="63"/>
    </row>
    <row r="62" spans="1:11" s="62" customFormat="1" ht="14.25">
      <c r="A62" s="54"/>
      <c r="B62" s="55" t="s">
        <v>521</v>
      </c>
      <c r="C62" s="64" t="s">
        <v>522</v>
      </c>
      <c r="D62" s="57" t="s">
        <v>12</v>
      </c>
      <c r="E62" s="59">
        <v>2</v>
      </c>
      <c r="F62" s="59">
        <f>TRUNC(0.69,2)</f>
        <v>0.69</v>
      </c>
      <c r="G62" s="60">
        <f t="shared" si="1"/>
        <v>1.38</v>
      </c>
      <c r="H62" s="60"/>
      <c r="I62" s="61"/>
      <c r="K62" s="63"/>
    </row>
    <row r="63" spans="1:11" s="62" customFormat="1" ht="14.25">
      <c r="A63" s="54"/>
      <c r="B63" s="55" t="s">
        <v>352</v>
      </c>
      <c r="C63" s="64" t="s">
        <v>353</v>
      </c>
      <c r="D63" s="57" t="s">
        <v>12</v>
      </c>
      <c r="E63" s="59">
        <v>1</v>
      </c>
      <c r="F63" s="59">
        <f>TRUNC(73.5,2)</f>
        <v>73.5</v>
      </c>
      <c r="G63" s="60">
        <f t="shared" si="1"/>
        <v>73.5</v>
      </c>
      <c r="H63" s="60"/>
      <c r="I63" s="61"/>
      <c r="K63" s="63"/>
    </row>
    <row r="64" spans="1:11" s="62" customFormat="1" ht="14.25">
      <c r="A64" s="54"/>
      <c r="B64" s="55" t="s">
        <v>245</v>
      </c>
      <c r="C64" s="64" t="s">
        <v>139</v>
      </c>
      <c r="D64" s="57" t="s">
        <v>6</v>
      </c>
      <c r="E64" s="59">
        <v>8</v>
      </c>
      <c r="F64" s="59">
        <f>TRUNC(19.21,2)</f>
        <v>19.21</v>
      </c>
      <c r="G64" s="60">
        <f t="shared" si="1"/>
        <v>153.68</v>
      </c>
      <c r="H64" s="60"/>
      <c r="I64" s="61"/>
      <c r="K64" s="63"/>
    </row>
    <row r="65" spans="1:11" s="62" customFormat="1" ht="14.25">
      <c r="A65" s="54"/>
      <c r="B65" s="55" t="s">
        <v>342</v>
      </c>
      <c r="C65" s="64" t="s">
        <v>340</v>
      </c>
      <c r="D65" s="57" t="s">
        <v>6</v>
      </c>
      <c r="E65" s="59">
        <v>8</v>
      </c>
      <c r="F65" s="59">
        <f>TRUNC(24.17,2)</f>
        <v>24.17</v>
      </c>
      <c r="G65" s="60">
        <f t="shared" si="1"/>
        <v>193.36</v>
      </c>
      <c r="H65" s="60"/>
      <c r="I65" s="61"/>
      <c r="K65" s="63"/>
    </row>
    <row r="66" spans="1:11" s="62" customFormat="1" ht="14.25">
      <c r="A66" s="54"/>
      <c r="B66" s="55"/>
      <c r="C66" s="64"/>
      <c r="D66" s="57"/>
      <c r="E66" s="59" t="s">
        <v>7</v>
      </c>
      <c r="F66" s="59"/>
      <c r="G66" s="60">
        <f>TRUNC(SUM(G47:G65),2)</f>
        <v>1455.65</v>
      </c>
      <c r="H66" s="60"/>
      <c r="I66" s="61"/>
      <c r="K66" s="63"/>
    </row>
    <row r="67" spans="1:11" s="92" customFormat="1" ht="42.75">
      <c r="A67" s="85" t="s">
        <v>275</v>
      </c>
      <c r="B67" s="86" t="s">
        <v>524</v>
      </c>
      <c r="C67" s="87" t="s">
        <v>525</v>
      </c>
      <c r="D67" s="88" t="s">
        <v>12</v>
      </c>
      <c r="E67" s="90">
        <v>1</v>
      </c>
      <c r="F67" s="89">
        <f>TRUNC(G84,2)</f>
        <v>2890.65</v>
      </c>
      <c r="G67" s="90">
        <f>TRUNC(F67*1.2977,2)</f>
        <v>3751.19</v>
      </c>
      <c r="H67" s="90">
        <f>TRUNC(F67*E67,2)</f>
        <v>2890.65</v>
      </c>
      <c r="I67" s="91">
        <f>TRUNC(E67*G67,2)</f>
        <v>3751.19</v>
      </c>
      <c r="J67" s="92">
        <v>3684.95</v>
      </c>
      <c r="K67" s="93"/>
    </row>
    <row r="68" spans="1:11" s="62" customFormat="1" ht="17.25" customHeight="1">
      <c r="A68" s="54"/>
      <c r="B68" s="55" t="s">
        <v>526</v>
      </c>
      <c r="C68" s="64" t="s">
        <v>527</v>
      </c>
      <c r="D68" s="57" t="s">
        <v>12</v>
      </c>
      <c r="E68" s="60">
        <v>1</v>
      </c>
      <c r="F68" s="59">
        <f>TRUNC(10.4,2)</f>
        <v>10.4</v>
      </c>
      <c r="G68" s="60">
        <f aca="true" t="shared" si="2" ref="G68:G83">TRUNC(E68*F68,2)</f>
        <v>10.4</v>
      </c>
      <c r="H68" s="60"/>
      <c r="I68" s="61"/>
      <c r="K68" s="63"/>
    </row>
    <row r="69" spans="1:11" s="62" customFormat="1" ht="14.25">
      <c r="A69" s="54"/>
      <c r="B69" s="55" t="s">
        <v>2</v>
      </c>
      <c r="C69" s="64" t="s">
        <v>458</v>
      </c>
      <c r="D69" s="57" t="s">
        <v>3</v>
      </c>
      <c r="E69" s="60">
        <v>25</v>
      </c>
      <c r="F69" s="59">
        <f>TRUNC(3.25,2)</f>
        <v>3.25</v>
      </c>
      <c r="G69" s="60">
        <f t="shared" si="2"/>
        <v>81.25</v>
      </c>
      <c r="H69" s="60"/>
      <c r="I69" s="61"/>
      <c r="K69" s="63"/>
    </row>
    <row r="70" spans="1:11" s="62" customFormat="1" ht="28.5">
      <c r="A70" s="54"/>
      <c r="B70" s="55" t="s">
        <v>4</v>
      </c>
      <c r="C70" s="64" t="s">
        <v>71</v>
      </c>
      <c r="D70" s="57" t="s">
        <v>5</v>
      </c>
      <c r="E70" s="60">
        <v>1</v>
      </c>
      <c r="F70" s="59">
        <f>TRUNC(8.39,2)</f>
        <v>8.39</v>
      </c>
      <c r="G70" s="60">
        <f t="shared" si="2"/>
        <v>8.39</v>
      </c>
      <c r="H70" s="60"/>
      <c r="I70" s="61"/>
      <c r="K70" s="63"/>
    </row>
    <row r="71" spans="1:11" s="62" customFormat="1" ht="14.25">
      <c r="A71" s="54"/>
      <c r="B71" s="55" t="s">
        <v>419</v>
      </c>
      <c r="C71" s="64" t="s">
        <v>420</v>
      </c>
      <c r="D71" s="57" t="s">
        <v>12</v>
      </c>
      <c r="E71" s="60">
        <v>30</v>
      </c>
      <c r="F71" s="59">
        <f>TRUNC(0.49,2)</f>
        <v>0.49</v>
      </c>
      <c r="G71" s="60">
        <f t="shared" si="2"/>
        <v>14.7</v>
      </c>
      <c r="H71" s="60"/>
      <c r="I71" s="61"/>
      <c r="K71" s="63"/>
    </row>
    <row r="72" spans="1:11" s="62" customFormat="1" ht="14.25">
      <c r="A72" s="54"/>
      <c r="B72" s="55" t="s">
        <v>528</v>
      </c>
      <c r="C72" s="64" t="s">
        <v>529</v>
      </c>
      <c r="D72" s="57" t="s">
        <v>12</v>
      </c>
      <c r="E72" s="60">
        <v>1</v>
      </c>
      <c r="F72" s="59">
        <f>TRUNC(21.9,2)</f>
        <v>21.9</v>
      </c>
      <c r="G72" s="60">
        <f t="shared" si="2"/>
        <v>21.9</v>
      </c>
      <c r="H72" s="60"/>
      <c r="I72" s="61"/>
      <c r="K72" s="63"/>
    </row>
    <row r="73" spans="1:11" s="62" customFormat="1" ht="14.25">
      <c r="A73" s="54"/>
      <c r="B73" s="55" t="s">
        <v>530</v>
      </c>
      <c r="C73" s="64" t="s">
        <v>531</v>
      </c>
      <c r="D73" s="57" t="s">
        <v>3</v>
      </c>
      <c r="E73" s="60">
        <v>30</v>
      </c>
      <c r="F73" s="59">
        <f>TRUNC(15.78,2)</f>
        <v>15.78</v>
      </c>
      <c r="G73" s="60">
        <f t="shared" si="2"/>
        <v>473.4</v>
      </c>
      <c r="H73" s="60"/>
      <c r="I73" s="61"/>
      <c r="K73" s="63"/>
    </row>
    <row r="74" spans="1:11" s="62" customFormat="1" ht="14.25">
      <c r="A74" s="54"/>
      <c r="B74" s="55" t="s">
        <v>532</v>
      </c>
      <c r="C74" s="64" t="s">
        <v>533</v>
      </c>
      <c r="D74" s="57" t="s">
        <v>3</v>
      </c>
      <c r="E74" s="60">
        <v>3.44</v>
      </c>
      <c r="F74" s="59">
        <f>TRUNC(9.96,2)</f>
        <v>9.96</v>
      </c>
      <c r="G74" s="60">
        <f t="shared" si="2"/>
        <v>34.26</v>
      </c>
      <c r="H74" s="60"/>
      <c r="I74" s="61"/>
      <c r="K74" s="63"/>
    </row>
    <row r="75" spans="1:11" s="62" customFormat="1" ht="14.25">
      <c r="A75" s="54"/>
      <c r="B75" s="55" t="s">
        <v>534</v>
      </c>
      <c r="C75" s="64" t="s">
        <v>535</v>
      </c>
      <c r="D75" s="57" t="s">
        <v>12</v>
      </c>
      <c r="E75" s="60">
        <v>1</v>
      </c>
      <c r="F75" s="59">
        <f>TRUNC(234.78,2)</f>
        <v>234.78</v>
      </c>
      <c r="G75" s="60">
        <f t="shared" si="2"/>
        <v>234.78</v>
      </c>
      <c r="H75" s="60"/>
      <c r="I75" s="61"/>
      <c r="K75" s="63"/>
    </row>
    <row r="76" spans="1:11" s="62" customFormat="1" ht="28.5">
      <c r="A76" s="54"/>
      <c r="B76" s="55" t="s">
        <v>536</v>
      </c>
      <c r="C76" s="64" t="s">
        <v>537</v>
      </c>
      <c r="D76" s="57" t="s">
        <v>6</v>
      </c>
      <c r="E76" s="60">
        <v>11.33</v>
      </c>
      <c r="F76" s="59">
        <f>TRUNC(17.3,2)</f>
        <v>17.3</v>
      </c>
      <c r="G76" s="60">
        <f t="shared" si="2"/>
        <v>196</v>
      </c>
      <c r="H76" s="60"/>
      <c r="I76" s="61"/>
      <c r="K76" s="63"/>
    </row>
    <row r="77" spans="1:11" s="62" customFormat="1" ht="28.5">
      <c r="A77" s="54"/>
      <c r="B77" s="55" t="s">
        <v>76</v>
      </c>
      <c r="C77" s="64" t="s">
        <v>77</v>
      </c>
      <c r="D77" s="57" t="s">
        <v>6</v>
      </c>
      <c r="E77" s="60">
        <v>8.24</v>
      </c>
      <c r="F77" s="59">
        <f>TRUNC(18.63,2)</f>
        <v>18.63</v>
      </c>
      <c r="G77" s="60">
        <f t="shared" si="2"/>
        <v>153.51</v>
      </c>
      <c r="H77" s="60"/>
      <c r="I77" s="61"/>
      <c r="K77" s="63"/>
    </row>
    <row r="78" spans="1:11" s="62" customFormat="1" ht="14.25">
      <c r="A78" s="54"/>
      <c r="B78" s="55" t="s">
        <v>87</v>
      </c>
      <c r="C78" s="64" t="s">
        <v>88</v>
      </c>
      <c r="D78" s="57" t="s">
        <v>6</v>
      </c>
      <c r="E78" s="60">
        <v>8.24</v>
      </c>
      <c r="F78" s="59">
        <f>TRUNC(17.3,2)</f>
        <v>17.3</v>
      </c>
      <c r="G78" s="60">
        <f t="shared" si="2"/>
        <v>142.55</v>
      </c>
      <c r="H78" s="60"/>
      <c r="I78" s="61"/>
      <c r="K78" s="63"/>
    </row>
    <row r="79" spans="1:11" s="62" customFormat="1" ht="28.5">
      <c r="A79" s="54"/>
      <c r="B79" s="55" t="s">
        <v>72</v>
      </c>
      <c r="C79" s="64" t="s">
        <v>73</v>
      </c>
      <c r="D79" s="57" t="s">
        <v>6</v>
      </c>
      <c r="E79" s="60">
        <v>8.24</v>
      </c>
      <c r="F79" s="59">
        <f>TRUNC(12.54,2)</f>
        <v>12.54</v>
      </c>
      <c r="G79" s="60">
        <f t="shared" si="2"/>
        <v>103.32</v>
      </c>
      <c r="H79" s="60"/>
      <c r="I79" s="61"/>
      <c r="K79" s="63"/>
    </row>
    <row r="80" spans="1:11" s="62" customFormat="1" ht="28.5">
      <c r="A80" s="54"/>
      <c r="B80" s="55" t="s">
        <v>538</v>
      </c>
      <c r="C80" s="64" t="s">
        <v>539</v>
      </c>
      <c r="D80" s="57" t="s">
        <v>12</v>
      </c>
      <c r="E80" s="60">
        <v>1</v>
      </c>
      <c r="F80" s="59">
        <f>TRUNC(828.15,2)</f>
        <v>828.15</v>
      </c>
      <c r="G80" s="60">
        <f t="shared" si="2"/>
        <v>828.15</v>
      </c>
      <c r="H80" s="60"/>
      <c r="I80" s="61"/>
      <c r="K80" s="63"/>
    </row>
    <row r="81" spans="1:11" s="62" customFormat="1" ht="14.25">
      <c r="A81" s="54"/>
      <c r="B81" s="55" t="s">
        <v>161</v>
      </c>
      <c r="C81" s="64" t="s">
        <v>433</v>
      </c>
      <c r="D81" s="57" t="s">
        <v>0</v>
      </c>
      <c r="E81" s="60">
        <v>8</v>
      </c>
      <c r="F81" s="59">
        <f>TRUNC(20.6164,2)</f>
        <v>20.61</v>
      </c>
      <c r="G81" s="60">
        <f t="shared" si="2"/>
        <v>164.88</v>
      </c>
      <c r="H81" s="60"/>
      <c r="I81" s="61"/>
      <c r="K81" s="63"/>
    </row>
    <row r="82" spans="1:11" s="62" customFormat="1" ht="14.25">
      <c r="A82" s="54"/>
      <c r="B82" s="55" t="s">
        <v>333</v>
      </c>
      <c r="C82" s="64" t="s">
        <v>334</v>
      </c>
      <c r="D82" s="57" t="s">
        <v>1</v>
      </c>
      <c r="E82" s="60">
        <v>0.018</v>
      </c>
      <c r="F82" s="59">
        <f>TRUNC(267.2254,2)</f>
        <v>267.22</v>
      </c>
      <c r="G82" s="60">
        <f t="shared" si="2"/>
        <v>4.8</v>
      </c>
      <c r="H82" s="60"/>
      <c r="I82" s="61"/>
      <c r="K82" s="63"/>
    </row>
    <row r="83" spans="1:11" s="62" customFormat="1" ht="14.25">
      <c r="A83" s="54"/>
      <c r="B83" s="55" t="s">
        <v>540</v>
      </c>
      <c r="C83" s="64" t="s">
        <v>541</v>
      </c>
      <c r="D83" s="57" t="s">
        <v>12</v>
      </c>
      <c r="E83" s="60">
        <v>1</v>
      </c>
      <c r="F83" s="59">
        <f>TRUNC(418.366,2)</f>
        <v>418.36</v>
      </c>
      <c r="G83" s="60">
        <f t="shared" si="2"/>
        <v>418.36</v>
      </c>
      <c r="H83" s="60"/>
      <c r="I83" s="61"/>
      <c r="K83" s="63"/>
    </row>
    <row r="84" spans="1:11" s="62" customFormat="1" ht="14.25">
      <c r="A84" s="54"/>
      <c r="B84" s="55"/>
      <c r="C84" s="64"/>
      <c r="D84" s="57"/>
      <c r="E84" s="60" t="s">
        <v>7</v>
      </c>
      <c r="F84" s="59"/>
      <c r="G84" s="60">
        <f>TRUNC(SUM(G68:G83),2)</f>
        <v>2890.65</v>
      </c>
      <c r="H84" s="60"/>
      <c r="I84" s="61"/>
      <c r="K84" s="63"/>
    </row>
    <row r="85" spans="1:11" s="92" customFormat="1" ht="42.75">
      <c r="A85" s="85" t="s">
        <v>445</v>
      </c>
      <c r="B85" s="86" t="s">
        <v>162</v>
      </c>
      <c r="C85" s="87" t="s">
        <v>163</v>
      </c>
      <c r="D85" s="88" t="s">
        <v>0</v>
      </c>
      <c r="E85" s="90">
        <v>216.9</v>
      </c>
      <c r="F85" s="89">
        <f>TRUNC(G89,2)</f>
        <v>8.34</v>
      </c>
      <c r="G85" s="90">
        <f>TRUNC(F85*1.2977,2)</f>
        <v>10.82</v>
      </c>
      <c r="H85" s="90">
        <f>TRUNC(F85*E85,2)</f>
        <v>1808.94</v>
      </c>
      <c r="I85" s="91">
        <f>TRUNC(E85*G85,2)</f>
        <v>2346.85</v>
      </c>
      <c r="J85" s="92">
        <v>2496.51</v>
      </c>
      <c r="K85" s="93"/>
    </row>
    <row r="86" spans="1:11" s="62" customFormat="1" ht="28.5">
      <c r="A86" s="54"/>
      <c r="B86" s="55" t="s">
        <v>72</v>
      </c>
      <c r="C86" s="64" t="s">
        <v>73</v>
      </c>
      <c r="D86" s="57" t="s">
        <v>6</v>
      </c>
      <c r="E86" s="60">
        <v>0.515</v>
      </c>
      <c r="F86" s="59">
        <f>TRUNC(12.54,2)</f>
        <v>12.54</v>
      </c>
      <c r="G86" s="60">
        <f>TRUNC(E86*F86,2)</f>
        <v>6.45</v>
      </c>
      <c r="H86" s="60"/>
      <c r="I86" s="61"/>
      <c r="K86" s="63"/>
    </row>
    <row r="87" spans="1:11" s="62" customFormat="1" ht="14.25">
      <c r="A87" s="54"/>
      <c r="B87" s="55" t="s">
        <v>164</v>
      </c>
      <c r="C87" s="64" t="s">
        <v>116</v>
      </c>
      <c r="D87" s="57" t="s">
        <v>6</v>
      </c>
      <c r="E87" s="60">
        <v>0.004</v>
      </c>
      <c r="F87" s="59">
        <f>TRUNC(49.35,2)</f>
        <v>49.35</v>
      </c>
      <c r="G87" s="60">
        <f>TRUNC(E87*F87,2)</f>
        <v>0.19</v>
      </c>
      <c r="H87" s="60"/>
      <c r="I87" s="61"/>
      <c r="K87" s="63"/>
    </row>
    <row r="88" spans="1:11" s="62" customFormat="1" ht="14.25">
      <c r="A88" s="54"/>
      <c r="B88" s="55" t="s">
        <v>165</v>
      </c>
      <c r="C88" s="64" t="s">
        <v>115</v>
      </c>
      <c r="D88" s="57" t="s">
        <v>6</v>
      </c>
      <c r="E88" s="60">
        <v>0.016</v>
      </c>
      <c r="F88" s="59">
        <f>TRUNC(106.6069,2)</f>
        <v>106.6</v>
      </c>
      <c r="G88" s="60">
        <f>TRUNC(E88*F88,2)</f>
        <v>1.7</v>
      </c>
      <c r="H88" s="60"/>
      <c r="I88" s="61"/>
      <c r="K88" s="63"/>
    </row>
    <row r="89" spans="1:11" s="62" customFormat="1" ht="14.25">
      <c r="A89" s="54"/>
      <c r="B89" s="55"/>
      <c r="C89" s="64"/>
      <c r="D89" s="57"/>
      <c r="E89" s="60" t="s">
        <v>7</v>
      </c>
      <c r="F89" s="59"/>
      <c r="G89" s="60">
        <f>TRUNC(SUM(G86:G88),2)</f>
        <v>8.34</v>
      </c>
      <c r="H89" s="60"/>
      <c r="I89" s="61"/>
      <c r="K89" s="63"/>
    </row>
    <row r="90" spans="1:11" s="92" customFormat="1" ht="28.5">
      <c r="A90" s="85" t="s">
        <v>649</v>
      </c>
      <c r="B90" s="86" t="s">
        <v>680</v>
      </c>
      <c r="C90" s="87" t="s">
        <v>679</v>
      </c>
      <c r="D90" s="88" t="s">
        <v>3</v>
      </c>
      <c r="E90" s="90">
        <v>22.2</v>
      </c>
      <c r="F90" s="89">
        <f>TRUNC(G92,2)</f>
        <v>9.68</v>
      </c>
      <c r="G90" s="90">
        <f>TRUNC(F90*1.2977,2)</f>
        <v>12.56</v>
      </c>
      <c r="H90" s="90">
        <f>TRUNC(F90*E90,2)</f>
        <v>214.89</v>
      </c>
      <c r="I90" s="91">
        <f>TRUNC(E90*G90,2)</f>
        <v>278.83</v>
      </c>
      <c r="J90" s="92">
        <v>10.5</v>
      </c>
      <c r="K90" s="93"/>
    </row>
    <row r="91" spans="1:11" s="62" customFormat="1" ht="28.5">
      <c r="A91" s="54"/>
      <c r="B91" s="55" t="s">
        <v>72</v>
      </c>
      <c r="C91" s="64" t="s">
        <v>73</v>
      </c>
      <c r="D91" s="57" t="s">
        <v>6</v>
      </c>
      <c r="E91" s="60">
        <v>0.7725</v>
      </c>
      <c r="F91" s="59">
        <f>TRUNC(12.54,2)</f>
        <v>12.54</v>
      </c>
      <c r="G91" s="60">
        <f>TRUNC(E91*F91,2)</f>
        <v>9.68</v>
      </c>
      <c r="H91" s="107"/>
      <c r="I91" s="61"/>
      <c r="K91" s="63"/>
    </row>
    <row r="92" spans="1:11" s="62" customFormat="1" ht="14.25">
      <c r="A92" s="54"/>
      <c r="B92" s="55"/>
      <c r="C92" s="64"/>
      <c r="D92" s="57"/>
      <c r="E92" s="60" t="s">
        <v>7</v>
      </c>
      <c r="F92" s="59"/>
      <c r="G92" s="60">
        <f>TRUNC(SUM(G91:G91),2)</f>
        <v>9.68</v>
      </c>
      <c r="H92" s="107"/>
      <c r="I92" s="61"/>
      <c r="K92" s="63"/>
    </row>
    <row r="93" spans="1:11" s="92" customFormat="1" ht="42.75">
      <c r="A93" s="85" t="s">
        <v>650</v>
      </c>
      <c r="B93" s="86" t="s">
        <v>542</v>
      </c>
      <c r="C93" s="87" t="s">
        <v>543</v>
      </c>
      <c r="D93" s="88" t="s">
        <v>6</v>
      </c>
      <c r="E93" s="90">
        <v>5</v>
      </c>
      <c r="F93" s="89">
        <f>TRUNC(G99,2)</f>
        <v>47.75</v>
      </c>
      <c r="G93" s="90">
        <f>TRUNC(F93*1.2977,2)</f>
        <v>61.96</v>
      </c>
      <c r="H93" s="90">
        <f>TRUNC(F93*E93,2)</f>
        <v>238.75</v>
      </c>
      <c r="I93" s="91">
        <f>TRUNC(E93*G93,2)</f>
        <v>309.8</v>
      </c>
      <c r="J93" s="92">
        <v>310.7</v>
      </c>
      <c r="K93" s="93"/>
    </row>
    <row r="94" spans="1:11" s="62" customFormat="1" ht="14.25">
      <c r="A94" s="54"/>
      <c r="B94" s="55" t="s">
        <v>544</v>
      </c>
      <c r="C94" s="64" t="s">
        <v>545</v>
      </c>
      <c r="D94" s="57" t="s">
        <v>5</v>
      </c>
      <c r="E94" s="60">
        <v>0.02</v>
      </c>
      <c r="F94" s="59">
        <f>TRUNC(5.6,2)</f>
        <v>5.6</v>
      </c>
      <c r="G94" s="60">
        <f>TRUNC(E94*F94,2)</f>
        <v>0.11</v>
      </c>
      <c r="H94" s="107"/>
      <c r="I94" s="61"/>
      <c r="K94" s="63"/>
    </row>
    <row r="95" spans="1:11" s="62" customFormat="1" ht="14.25">
      <c r="A95" s="54"/>
      <c r="B95" s="55" t="s">
        <v>546</v>
      </c>
      <c r="C95" s="64" t="s">
        <v>547</v>
      </c>
      <c r="D95" s="57" t="s">
        <v>467</v>
      </c>
      <c r="E95" s="60">
        <v>0.06</v>
      </c>
      <c r="F95" s="59">
        <f>TRUNC(8.5,2)</f>
        <v>8.5</v>
      </c>
      <c r="G95" s="60">
        <f>TRUNC(E95*F95,2)</f>
        <v>0.51</v>
      </c>
      <c r="H95" s="60"/>
      <c r="I95" s="61"/>
      <c r="K95" s="63"/>
    </row>
    <row r="96" spans="1:11" s="62" customFormat="1" ht="14.25">
      <c r="A96" s="54"/>
      <c r="B96" s="55" t="s">
        <v>548</v>
      </c>
      <c r="C96" s="64" t="s">
        <v>549</v>
      </c>
      <c r="D96" s="57" t="s">
        <v>467</v>
      </c>
      <c r="E96" s="60">
        <v>1.1</v>
      </c>
      <c r="F96" s="59">
        <f>TRUNC(3.583,2)</f>
        <v>3.58</v>
      </c>
      <c r="G96" s="60">
        <f>TRUNC(E96*F96,2)</f>
        <v>3.93</v>
      </c>
      <c r="H96" s="60"/>
      <c r="I96" s="61"/>
      <c r="K96" s="63"/>
    </row>
    <row r="97" spans="1:11" s="62" customFormat="1" ht="28.5">
      <c r="A97" s="54"/>
      <c r="B97" s="55" t="s">
        <v>550</v>
      </c>
      <c r="C97" s="64" t="s">
        <v>551</v>
      </c>
      <c r="D97" s="57" t="s">
        <v>6</v>
      </c>
      <c r="E97" s="60">
        <v>1</v>
      </c>
      <c r="F97" s="59">
        <f>TRUNC(19.45,2)</f>
        <v>19.45</v>
      </c>
      <c r="G97" s="60">
        <f>TRUNC(E97*F97,2)</f>
        <v>19.45</v>
      </c>
      <c r="H97" s="60"/>
      <c r="I97" s="61"/>
      <c r="K97" s="63"/>
    </row>
    <row r="98" spans="1:11" s="62" customFormat="1" ht="28.5">
      <c r="A98" s="54"/>
      <c r="B98" s="55" t="s">
        <v>552</v>
      </c>
      <c r="C98" s="64" t="s">
        <v>553</v>
      </c>
      <c r="D98" s="57" t="s">
        <v>12</v>
      </c>
      <c r="E98" s="60">
        <v>0.0001</v>
      </c>
      <c r="F98" s="59">
        <f>TRUNC(237526,2)</f>
        <v>237526</v>
      </c>
      <c r="G98" s="60">
        <f>TRUNC(E98*F98,2)</f>
        <v>23.75</v>
      </c>
      <c r="H98" s="60"/>
      <c r="I98" s="61"/>
      <c r="K98" s="63"/>
    </row>
    <row r="99" spans="1:11" s="62" customFormat="1" ht="14.25">
      <c r="A99" s="54"/>
      <c r="B99" s="55"/>
      <c r="C99" s="64"/>
      <c r="D99" s="57"/>
      <c r="E99" s="60" t="s">
        <v>7</v>
      </c>
      <c r="F99" s="59"/>
      <c r="G99" s="60">
        <f>TRUNC(SUM(G94:G98),2)</f>
        <v>47.75</v>
      </c>
      <c r="H99" s="60"/>
      <c r="I99" s="61"/>
      <c r="K99" s="63"/>
    </row>
    <row r="100" spans="1:10" s="39" customFormat="1" ht="15.75">
      <c r="A100" s="48" t="s">
        <v>52</v>
      </c>
      <c r="B100" s="50"/>
      <c r="C100" s="49"/>
      <c r="D100" s="50"/>
      <c r="E100" s="50"/>
      <c r="F100" s="50"/>
      <c r="G100" s="50" t="s">
        <v>56</v>
      </c>
      <c r="H100" s="52">
        <f>H27+H20+H13+H85+H90+H93+H67+H46</f>
        <v>12079.29</v>
      </c>
      <c r="I100" s="52">
        <f>I27+I20+I13+I85+I90+I93+I67+I46</f>
        <v>15674.079999999998</v>
      </c>
      <c r="J100" s="39">
        <v>14337.370000000003</v>
      </c>
    </row>
    <row r="101" spans="1:9" s="38" customFormat="1" ht="15.75">
      <c r="A101" s="38" t="s">
        <v>20</v>
      </c>
      <c r="B101" s="46"/>
      <c r="C101" s="47" t="s">
        <v>444</v>
      </c>
      <c r="D101" s="47"/>
      <c r="E101" s="47"/>
      <c r="F101" s="47"/>
      <c r="G101" s="47"/>
      <c r="H101" s="47"/>
      <c r="I101" s="45"/>
    </row>
    <row r="102" spans="1:11" s="92" customFormat="1" ht="85.5">
      <c r="A102" s="85" t="s">
        <v>53</v>
      </c>
      <c r="B102" s="86" t="s">
        <v>117</v>
      </c>
      <c r="C102" s="87" t="s">
        <v>643</v>
      </c>
      <c r="D102" s="88" t="s">
        <v>0</v>
      </c>
      <c r="E102" s="89">
        <v>216.9</v>
      </c>
      <c r="F102" s="89">
        <f>TRUNC(G117,2)</f>
        <v>79.09</v>
      </c>
      <c r="G102" s="90">
        <f>TRUNC(F102*1.2977,2)</f>
        <v>102.63</v>
      </c>
      <c r="H102" s="90">
        <f>TRUNC(F102*E102,2)</f>
        <v>17154.62</v>
      </c>
      <c r="I102" s="91">
        <f>TRUNC(E102*G102,2)</f>
        <v>22260.44</v>
      </c>
      <c r="J102" s="92">
        <v>22167.18</v>
      </c>
      <c r="K102" s="93">
        <v>19.29</v>
      </c>
    </row>
    <row r="103" spans="1:11" s="62" customFormat="1" ht="14.25">
      <c r="A103" s="54"/>
      <c r="B103" s="55" t="s">
        <v>166</v>
      </c>
      <c r="C103" s="64" t="s">
        <v>118</v>
      </c>
      <c r="D103" s="57" t="s">
        <v>47</v>
      </c>
      <c r="E103" s="59">
        <v>0.0725</v>
      </c>
      <c r="F103" s="59">
        <f>TRUNC(49.01,2)</f>
        <v>49.01</v>
      </c>
      <c r="G103" s="60">
        <f aca="true" t="shared" si="3" ref="G103:G116">TRUNC(E103*F103,2)</f>
        <v>3.55</v>
      </c>
      <c r="H103" s="60"/>
      <c r="I103" s="61"/>
      <c r="K103" s="63"/>
    </row>
    <row r="104" spans="1:11" s="62" customFormat="1" ht="28.5">
      <c r="A104" s="54"/>
      <c r="B104" s="55" t="s">
        <v>167</v>
      </c>
      <c r="C104" s="64" t="s">
        <v>168</v>
      </c>
      <c r="D104" s="57" t="s">
        <v>5</v>
      </c>
      <c r="E104" s="59">
        <v>3.25</v>
      </c>
      <c r="F104" s="59">
        <f>TRUNC(3.558,2)</f>
        <v>3.55</v>
      </c>
      <c r="G104" s="60">
        <f t="shared" si="3"/>
        <v>11.53</v>
      </c>
      <c r="H104" s="60"/>
      <c r="I104" s="61"/>
      <c r="K104" s="63"/>
    </row>
    <row r="105" spans="1:11" s="62" customFormat="1" ht="14.25">
      <c r="A105" s="54"/>
      <c r="B105" s="55" t="s">
        <v>169</v>
      </c>
      <c r="C105" s="64" t="s">
        <v>170</v>
      </c>
      <c r="D105" s="57" t="s">
        <v>0</v>
      </c>
      <c r="E105" s="59">
        <v>1.2</v>
      </c>
      <c r="F105" s="59">
        <f>TRUNC(0.6,2)</f>
        <v>0.6</v>
      </c>
      <c r="G105" s="60">
        <f t="shared" si="3"/>
        <v>0.72</v>
      </c>
      <c r="H105" s="60"/>
      <c r="I105" s="61"/>
      <c r="K105" s="63"/>
    </row>
    <row r="106" spans="1:11" s="62" customFormat="1" ht="15">
      <c r="A106" s="54"/>
      <c r="B106" s="82" t="s">
        <v>271</v>
      </c>
      <c r="C106" s="73" t="s">
        <v>272</v>
      </c>
      <c r="D106" s="101" t="s">
        <v>1</v>
      </c>
      <c r="E106" s="74">
        <v>0.105</v>
      </c>
      <c r="F106" s="74">
        <v>308.43</v>
      </c>
      <c r="G106" s="74">
        <f t="shared" si="3"/>
        <v>32.38</v>
      </c>
      <c r="H106" s="59"/>
      <c r="I106" s="61"/>
      <c r="K106" s="63"/>
    </row>
    <row r="107" spans="1:11" s="62" customFormat="1" ht="28.5">
      <c r="A107" s="54"/>
      <c r="B107" s="55" t="s">
        <v>72</v>
      </c>
      <c r="C107" s="64" t="s">
        <v>73</v>
      </c>
      <c r="D107" s="57" t="s">
        <v>6</v>
      </c>
      <c r="E107" s="59">
        <v>1.15875</v>
      </c>
      <c r="F107" s="59">
        <f>TRUNC(12.54,2)</f>
        <v>12.54</v>
      </c>
      <c r="G107" s="60">
        <f t="shared" si="3"/>
        <v>14.53</v>
      </c>
      <c r="H107" s="60"/>
      <c r="I107" s="61"/>
      <c r="K107" s="63"/>
    </row>
    <row r="108" spans="1:11" s="62" customFormat="1" ht="14.25">
      <c r="A108" s="54"/>
      <c r="B108" s="55" t="s">
        <v>87</v>
      </c>
      <c r="C108" s="64" t="s">
        <v>88</v>
      </c>
      <c r="D108" s="57" t="s">
        <v>6</v>
      </c>
      <c r="E108" s="59">
        <v>0.6695000000000001</v>
      </c>
      <c r="F108" s="59">
        <f>TRUNC(17.3,2)</f>
        <v>17.3</v>
      </c>
      <c r="G108" s="60">
        <f t="shared" si="3"/>
        <v>11.58</v>
      </c>
      <c r="H108" s="60"/>
      <c r="I108" s="61"/>
      <c r="K108" s="63"/>
    </row>
    <row r="109" spans="1:11" s="62" customFormat="1" ht="28.5">
      <c r="A109" s="54"/>
      <c r="B109" s="55" t="s">
        <v>171</v>
      </c>
      <c r="C109" s="64" t="s">
        <v>89</v>
      </c>
      <c r="D109" s="57" t="s">
        <v>6</v>
      </c>
      <c r="E109" s="59">
        <v>0.0927</v>
      </c>
      <c r="F109" s="59">
        <f>TRUNC(17.3,2)</f>
        <v>17.3</v>
      </c>
      <c r="G109" s="60">
        <f t="shared" si="3"/>
        <v>1.6</v>
      </c>
      <c r="H109" s="60"/>
      <c r="I109" s="61"/>
      <c r="K109" s="63"/>
    </row>
    <row r="110" spans="1:11" s="62" customFormat="1" ht="28.5">
      <c r="A110" s="54"/>
      <c r="B110" s="55" t="s">
        <v>172</v>
      </c>
      <c r="C110" s="64" t="s">
        <v>173</v>
      </c>
      <c r="D110" s="57" t="s">
        <v>6</v>
      </c>
      <c r="E110" s="59">
        <v>0.1648</v>
      </c>
      <c r="F110" s="59">
        <f>TRUNC(17.3,2)</f>
        <v>17.3</v>
      </c>
      <c r="G110" s="60">
        <f t="shared" si="3"/>
        <v>2.85</v>
      </c>
      <c r="H110" s="60"/>
      <c r="I110" s="61"/>
      <c r="K110" s="63"/>
    </row>
    <row r="111" spans="1:11" s="62" customFormat="1" ht="14.25">
      <c r="A111" s="54"/>
      <c r="B111" s="55" t="s">
        <v>174</v>
      </c>
      <c r="C111" s="64" t="s">
        <v>122</v>
      </c>
      <c r="D111" s="57" t="s">
        <v>6</v>
      </c>
      <c r="E111" s="59">
        <v>0.0438</v>
      </c>
      <c r="F111" s="59">
        <f>TRUNC(0.9648,2)</f>
        <v>0.96</v>
      </c>
      <c r="G111" s="60">
        <f t="shared" si="3"/>
        <v>0.04</v>
      </c>
      <c r="H111" s="60"/>
      <c r="I111" s="61"/>
      <c r="K111" s="63"/>
    </row>
    <row r="112" spans="1:11" s="62" customFormat="1" ht="14.25">
      <c r="A112" s="54"/>
      <c r="B112" s="55" t="s">
        <v>175</v>
      </c>
      <c r="C112" s="64" t="s">
        <v>121</v>
      </c>
      <c r="D112" s="57" t="s">
        <v>6</v>
      </c>
      <c r="E112" s="59">
        <v>0.0188</v>
      </c>
      <c r="F112" s="59">
        <f>TRUNC(8.7466,2)</f>
        <v>8.74</v>
      </c>
      <c r="G112" s="60">
        <f t="shared" si="3"/>
        <v>0.16</v>
      </c>
      <c r="H112" s="60"/>
      <c r="I112" s="61"/>
      <c r="K112" s="63"/>
    </row>
    <row r="113" spans="1:11" s="62" customFormat="1" ht="14.25">
      <c r="A113" s="54"/>
      <c r="B113" s="55" t="s">
        <v>176</v>
      </c>
      <c r="C113" s="64" t="s">
        <v>90</v>
      </c>
      <c r="D113" s="57" t="s">
        <v>6</v>
      </c>
      <c r="E113" s="59">
        <v>0.036</v>
      </c>
      <c r="F113" s="59">
        <f>TRUNC(0.221,2)</f>
        <v>0.22</v>
      </c>
      <c r="G113" s="60">
        <f t="shared" si="3"/>
        <v>0</v>
      </c>
      <c r="H113" s="60"/>
      <c r="I113" s="61"/>
      <c r="K113" s="63"/>
    </row>
    <row r="114" spans="1:11" s="62" customFormat="1" ht="14.25">
      <c r="A114" s="54"/>
      <c r="B114" s="55" t="s">
        <v>177</v>
      </c>
      <c r="C114" s="64" t="s">
        <v>91</v>
      </c>
      <c r="D114" s="57" t="s">
        <v>6</v>
      </c>
      <c r="E114" s="59">
        <v>0.036</v>
      </c>
      <c r="F114" s="59">
        <f>TRUNC(1.1619,2)</f>
        <v>1.16</v>
      </c>
      <c r="G114" s="60">
        <f t="shared" si="3"/>
        <v>0.04</v>
      </c>
      <c r="H114" s="60"/>
      <c r="I114" s="61"/>
      <c r="K114" s="63"/>
    </row>
    <row r="115" spans="1:11" s="62" customFormat="1" ht="14.25">
      <c r="A115" s="54"/>
      <c r="B115" s="55" t="s">
        <v>178</v>
      </c>
      <c r="C115" s="64" t="s">
        <v>120</v>
      </c>
      <c r="D115" s="57" t="s">
        <v>6</v>
      </c>
      <c r="E115" s="59">
        <v>0.0292</v>
      </c>
      <c r="F115" s="59">
        <f>TRUNC(1.3478,2)</f>
        <v>1.34</v>
      </c>
      <c r="G115" s="60">
        <f t="shared" si="3"/>
        <v>0.03</v>
      </c>
      <c r="H115" s="60"/>
      <c r="I115" s="61"/>
      <c r="K115" s="63"/>
    </row>
    <row r="116" spans="1:11" s="62" customFormat="1" ht="14.25">
      <c r="A116" s="54"/>
      <c r="B116" s="55" t="s">
        <v>179</v>
      </c>
      <c r="C116" s="64" t="s">
        <v>119</v>
      </c>
      <c r="D116" s="57" t="s">
        <v>6</v>
      </c>
      <c r="E116" s="59">
        <v>0.0125</v>
      </c>
      <c r="F116" s="59">
        <f>TRUNC(6.689,2)</f>
        <v>6.68</v>
      </c>
      <c r="G116" s="60">
        <f t="shared" si="3"/>
        <v>0.08</v>
      </c>
      <c r="H116" s="60"/>
      <c r="I116" s="61"/>
      <c r="K116" s="63"/>
    </row>
    <row r="117" spans="1:11" s="62" customFormat="1" ht="14.25">
      <c r="A117" s="54"/>
      <c r="B117" s="55"/>
      <c r="C117" s="64"/>
      <c r="D117" s="57"/>
      <c r="E117" s="59" t="s">
        <v>7</v>
      </c>
      <c r="F117" s="59"/>
      <c r="G117" s="60">
        <f>TRUNC(SUM(G103:G116),2)</f>
        <v>79.09</v>
      </c>
      <c r="H117" s="60"/>
      <c r="I117" s="61"/>
      <c r="K117" s="63"/>
    </row>
    <row r="118" spans="1:12" s="92" customFormat="1" ht="57">
      <c r="A118" s="85" t="s">
        <v>446</v>
      </c>
      <c r="B118" s="86" t="s">
        <v>415</v>
      </c>
      <c r="C118" s="87" t="s">
        <v>416</v>
      </c>
      <c r="D118" s="88" t="s">
        <v>0</v>
      </c>
      <c r="E118" s="89">
        <v>1.5</v>
      </c>
      <c r="F118" s="89">
        <f>TRUNC(G124,2)</f>
        <v>68.07</v>
      </c>
      <c r="G118" s="90">
        <f>TRUNC(F118*1.2977,2)</f>
        <v>88.33</v>
      </c>
      <c r="H118" s="90">
        <f>TRUNC(F118*E118,2)</f>
        <v>102.1</v>
      </c>
      <c r="I118" s="91">
        <f>TRUNC(E118*G118,2)</f>
        <v>132.49</v>
      </c>
      <c r="J118" s="92">
        <v>136.06</v>
      </c>
      <c r="K118" s="93"/>
      <c r="L118" s="92">
        <f>87.68*11.1</f>
        <v>973.248</v>
      </c>
    </row>
    <row r="119" spans="1:11" s="62" customFormat="1" ht="14.25">
      <c r="A119" s="54"/>
      <c r="B119" s="55" t="s">
        <v>417</v>
      </c>
      <c r="C119" s="64" t="s">
        <v>418</v>
      </c>
      <c r="D119" s="57" t="s">
        <v>12</v>
      </c>
      <c r="E119" s="59">
        <v>31</v>
      </c>
      <c r="F119" s="59">
        <f>TRUNC(0.7,2)</f>
        <v>0.7</v>
      </c>
      <c r="G119" s="60">
        <f>TRUNC(E119*F119,2)</f>
        <v>21.7</v>
      </c>
      <c r="H119" s="60"/>
      <c r="I119" s="61"/>
      <c r="K119" s="63"/>
    </row>
    <row r="120" spans="1:11" s="62" customFormat="1" ht="14.25">
      <c r="A120" s="54"/>
      <c r="B120" s="55" t="s">
        <v>419</v>
      </c>
      <c r="C120" s="64" t="s">
        <v>420</v>
      </c>
      <c r="D120" s="57" t="s">
        <v>12</v>
      </c>
      <c r="E120" s="59">
        <v>6</v>
      </c>
      <c r="F120" s="59">
        <f>TRUNC(0.49,2)</f>
        <v>0.49</v>
      </c>
      <c r="G120" s="60">
        <f>TRUNC(E120*F120,2)</f>
        <v>2.94</v>
      </c>
      <c r="H120" s="60"/>
      <c r="I120" s="61"/>
      <c r="K120" s="63"/>
    </row>
    <row r="121" spans="1:11" s="62" customFormat="1" ht="28.5">
      <c r="A121" s="54"/>
      <c r="B121" s="55" t="s">
        <v>72</v>
      </c>
      <c r="C121" s="64" t="s">
        <v>73</v>
      </c>
      <c r="D121" s="57" t="s">
        <v>6</v>
      </c>
      <c r="E121" s="59">
        <v>0.7725</v>
      </c>
      <c r="F121" s="59">
        <f>TRUNC(12.54,2)</f>
        <v>12.54</v>
      </c>
      <c r="G121" s="60">
        <f>TRUNC(E121*F121,2)</f>
        <v>9.68</v>
      </c>
      <c r="H121" s="60"/>
      <c r="I121" s="61"/>
      <c r="K121" s="63"/>
    </row>
    <row r="122" spans="1:11" s="62" customFormat="1" ht="14.25">
      <c r="A122" s="54"/>
      <c r="B122" s="55" t="s">
        <v>87</v>
      </c>
      <c r="C122" s="64" t="s">
        <v>88</v>
      </c>
      <c r="D122" s="57" t="s">
        <v>6</v>
      </c>
      <c r="E122" s="59">
        <v>1.545</v>
      </c>
      <c r="F122" s="59">
        <f>TRUNC(17.3,2)</f>
        <v>17.3</v>
      </c>
      <c r="G122" s="60">
        <f>TRUNC(E122*F122,2)</f>
        <v>26.72</v>
      </c>
      <c r="H122" s="60"/>
      <c r="I122" s="61"/>
      <c r="K122" s="63"/>
    </row>
    <row r="123" spans="1:11" s="62" customFormat="1" ht="14.25">
      <c r="A123" s="54"/>
      <c r="B123" s="55" t="s">
        <v>421</v>
      </c>
      <c r="C123" s="64" t="s">
        <v>422</v>
      </c>
      <c r="D123" s="57" t="s">
        <v>1</v>
      </c>
      <c r="E123" s="59">
        <v>0.0325</v>
      </c>
      <c r="F123" s="59">
        <f>TRUNC(216.5331,2)</f>
        <v>216.53</v>
      </c>
      <c r="G123" s="60">
        <f>TRUNC(E123*F123,2)</f>
        <v>7.03</v>
      </c>
      <c r="H123" s="60"/>
      <c r="I123" s="61"/>
      <c r="K123" s="63"/>
    </row>
    <row r="124" spans="1:11" s="62" customFormat="1" ht="14.25">
      <c r="A124" s="54"/>
      <c r="B124" s="55"/>
      <c r="C124" s="64"/>
      <c r="D124" s="57"/>
      <c r="E124" s="59" t="s">
        <v>7</v>
      </c>
      <c r="F124" s="59"/>
      <c r="G124" s="60">
        <f>TRUNC(SUM(G119:G123),2)</f>
        <v>68.07</v>
      </c>
      <c r="H124" s="60"/>
      <c r="I124" s="61"/>
      <c r="K124" s="63"/>
    </row>
    <row r="125" spans="1:12" s="92" customFormat="1" ht="42.75">
      <c r="A125" s="85" t="s">
        <v>447</v>
      </c>
      <c r="B125" s="86" t="s">
        <v>423</v>
      </c>
      <c r="C125" s="87" t="s">
        <v>424</v>
      </c>
      <c r="D125" s="88" t="s">
        <v>0</v>
      </c>
      <c r="E125" s="89">
        <v>3.6</v>
      </c>
      <c r="F125" s="89">
        <f>TRUNC(G130,2)</f>
        <v>23.09</v>
      </c>
      <c r="G125" s="90">
        <f>TRUNC(F125*1.2977,2)</f>
        <v>29.96</v>
      </c>
      <c r="H125" s="90">
        <f>TRUNC(F125*E125,2)</f>
        <v>83.12</v>
      </c>
      <c r="I125" s="91">
        <f>TRUNC(E125*G125,2)</f>
        <v>107.85</v>
      </c>
      <c r="J125" s="92">
        <v>113.07</v>
      </c>
      <c r="K125" s="93"/>
      <c r="L125" s="92">
        <f>29.74*22.2</f>
        <v>660.228</v>
      </c>
    </row>
    <row r="126" spans="1:11" s="62" customFormat="1" ht="28.5">
      <c r="A126" s="54"/>
      <c r="B126" s="55" t="s">
        <v>72</v>
      </c>
      <c r="C126" s="64" t="s">
        <v>73</v>
      </c>
      <c r="D126" s="57" t="s">
        <v>6</v>
      </c>
      <c r="E126" s="59">
        <v>0.41200000000000003</v>
      </c>
      <c r="F126" s="59">
        <f>TRUNC(12.54,2)</f>
        <v>12.54</v>
      </c>
      <c r="G126" s="60">
        <f>TRUNC(E126*F126,2)</f>
        <v>5.16</v>
      </c>
      <c r="H126" s="60"/>
      <c r="I126" s="61"/>
      <c r="K126" s="63"/>
    </row>
    <row r="127" spans="1:11" s="62" customFormat="1" ht="14.25">
      <c r="A127" s="54"/>
      <c r="B127" s="55" t="s">
        <v>87</v>
      </c>
      <c r="C127" s="64" t="s">
        <v>88</v>
      </c>
      <c r="D127" s="57" t="s">
        <v>6</v>
      </c>
      <c r="E127" s="59">
        <v>0.41200000000000003</v>
      </c>
      <c r="F127" s="59">
        <f>TRUNC(17.3,2)</f>
        <v>17.3</v>
      </c>
      <c r="G127" s="60">
        <f>TRUNC(E127*F127,2)</f>
        <v>7.12</v>
      </c>
      <c r="H127" s="60"/>
      <c r="I127" s="61"/>
      <c r="K127" s="63"/>
    </row>
    <row r="128" spans="1:11" s="62" customFormat="1" ht="28.5">
      <c r="A128" s="54"/>
      <c r="B128" s="55" t="s">
        <v>425</v>
      </c>
      <c r="C128" s="64" t="s">
        <v>426</v>
      </c>
      <c r="D128" s="57" t="s">
        <v>0</v>
      </c>
      <c r="E128" s="59">
        <v>1</v>
      </c>
      <c r="F128" s="59">
        <f>TRUNC(4.4096,2)</f>
        <v>4.4</v>
      </c>
      <c r="G128" s="60">
        <f>TRUNC(E128*F128,2)</f>
        <v>4.4</v>
      </c>
      <c r="H128" s="60"/>
      <c r="I128" s="61"/>
      <c r="K128" s="63"/>
    </row>
    <row r="129" spans="1:11" s="62" customFormat="1" ht="14.25">
      <c r="A129" s="54"/>
      <c r="B129" s="55" t="s">
        <v>333</v>
      </c>
      <c r="C129" s="64" t="s">
        <v>334</v>
      </c>
      <c r="D129" s="57" t="s">
        <v>1</v>
      </c>
      <c r="E129" s="59">
        <v>0.024</v>
      </c>
      <c r="F129" s="59">
        <f>TRUNC(267.2254,2)</f>
        <v>267.22</v>
      </c>
      <c r="G129" s="60">
        <f>TRUNC(E129*F129,2)</f>
        <v>6.41</v>
      </c>
      <c r="H129" s="60"/>
      <c r="I129" s="61"/>
      <c r="K129" s="63"/>
    </row>
    <row r="130" spans="1:11" s="62" customFormat="1" ht="14.25">
      <c r="A130" s="54"/>
      <c r="B130" s="55"/>
      <c r="C130" s="64"/>
      <c r="D130" s="57"/>
      <c r="E130" s="59" t="s">
        <v>7</v>
      </c>
      <c r="F130" s="59"/>
      <c r="G130" s="60">
        <f>TRUNC(SUM(G126:G129),2)</f>
        <v>23.09</v>
      </c>
      <c r="H130" s="60"/>
      <c r="I130" s="61"/>
      <c r="K130" s="63"/>
    </row>
    <row r="131" spans="1:11" s="92" customFormat="1" ht="28.5">
      <c r="A131" s="85" t="s">
        <v>448</v>
      </c>
      <c r="B131" s="86" t="s">
        <v>427</v>
      </c>
      <c r="C131" s="87" t="s">
        <v>428</v>
      </c>
      <c r="D131" s="88" t="s">
        <v>1</v>
      </c>
      <c r="E131" s="89">
        <v>0.05</v>
      </c>
      <c r="F131" s="89">
        <f>TRUNC(G141,2)</f>
        <v>1381.91</v>
      </c>
      <c r="G131" s="90">
        <f>TRUNC(F131*1.2977,2)</f>
        <v>1793.3</v>
      </c>
      <c r="H131" s="90">
        <f>TRUNC(F131*E131,2)</f>
        <v>69.09</v>
      </c>
      <c r="I131" s="91">
        <f>TRUNC(E131*G131,2)</f>
        <v>89.66</v>
      </c>
      <c r="J131" s="92">
        <v>924.83</v>
      </c>
      <c r="K131" s="93"/>
    </row>
    <row r="132" spans="1:11" s="62" customFormat="1" ht="28.5">
      <c r="A132" s="54"/>
      <c r="B132" s="55" t="s">
        <v>4</v>
      </c>
      <c r="C132" s="64" t="s">
        <v>71</v>
      </c>
      <c r="D132" s="57" t="s">
        <v>5</v>
      </c>
      <c r="E132" s="59">
        <v>1.4</v>
      </c>
      <c r="F132" s="59">
        <f>TRUNC(8.39,2)</f>
        <v>8.39</v>
      </c>
      <c r="G132" s="60">
        <f aca="true" t="shared" si="4" ref="G132:G140">TRUNC(E132*F132,2)</f>
        <v>11.74</v>
      </c>
      <c r="H132" s="60"/>
      <c r="I132" s="61"/>
      <c r="K132" s="63"/>
    </row>
    <row r="133" spans="1:11" s="62" customFormat="1" ht="14.25">
      <c r="A133" s="54"/>
      <c r="B133" s="55" t="s">
        <v>429</v>
      </c>
      <c r="C133" s="64" t="s">
        <v>430</v>
      </c>
      <c r="D133" s="57" t="s">
        <v>5</v>
      </c>
      <c r="E133" s="59">
        <v>75</v>
      </c>
      <c r="F133" s="59">
        <f>TRUNC(4.02,2)</f>
        <v>4.02</v>
      </c>
      <c r="G133" s="60">
        <f t="shared" si="4"/>
        <v>301.5</v>
      </c>
      <c r="H133" s="60"/>
      <c r="I133" s="61"/>
      <c r="K133" s="63"/>
    </row>
    <row r="134" spans="1:11" s="62" customFormat="1" ht="14.25">
      <c r="A134" s="54"/>
      <c r="B134" s="55" t="s">
        <v>431</v>
      </c>
      <c r="C134" s="64" t="s">
        <v>432</v>
      </c>
      <c r="D134" s="57" t="s">
        <v>5</v>
      </c>
      <c r="E134" s="59">
        <v>1.2</v>
      </c>
      <c r="F134" s="59">
        <f>TRUNC(6.4,2)</f>
        <v>6.4</v>
      </c>
      <c r="G134" s="60">
        <f t="shared" si="4"/>
        <v>7.68</v>
      </c>
      <c r="H134" s="60"/>
      <c r="I134" s="61"/>
      <c r="K134" s="63"/>
    </row>
    <row r="135" spans="1:11" s="62" customFormat="1" ht="28.5">
      <c r="A135" s="54"/>
      <c r="B135" s="55" t="s">
        <v>72</v>
      </c>
      <c r="C135" s="64" t="s">
        <v>73</v>
      </c>
      <c r="D135" s="57" t="s">
        <v>6</v>
      </c>
      <c r="E135" s="59">
        <v>30.900000000000002</v>
      </c>
      <c r="F135" s="59">
        <f>TRUNC(12.54,2)</f>
        <v>12.54</v>
      </c>
      <c r="G135" s="60">
        <f t="shared" si="4"/>
        <v>387.48</v>
      </c>
      <c r="H135" s="60"/>
      <c r="I135" s="61"/>
      <c r="K135" s="63"/>
    </row>
    <row r="136" spans="1:11" s="62" customFormat="1" ht="14.25">
      <c r="A136" s="54"/>
      <c r="B136" s="55" t="s">
        <v>87</v>
      </c>
      <c r="C136" s="64" t="s">
        <v>88</v>
      </c>
      <c r="D136" s="57" t="s">
        <v>6</v>
      </c>
      <c r="E136" s="59">
        <v>4.12</v>
      </c>
      <c r="F136" s="59">
        <f>TRUNC(17.3,2)</f>
        <v>17.3</v>
      </c>
      <c r="G136" s="60">
        <f t="shared" si="4"/>
        <v>71.27</v>
      </c>
      <c r="H136" s="60"/>
      <c r="I136" s="61"/>
      <c r="K136" s="63"/>
    </row>
    <row r="137" spans="1:11" s="62" customFormat="1" ht="28.5">
      <c r="A137" s="54"/>
      <c r="B137" s="55" t="s">
        <v>171</v>
      </c>
      <c r="C137" s="64" t="s">
        <v>89</v>
      </c>
      <c r="D137" s="57" t="s">
        <v>6</v>
      </c>
      <c r="E137" s="59">
        <v>6.18</v>
      </c>
      <c r="F137" s="59">
        <f>TRUNC(17.3,2)</f>
        <v>17.3</v>
      </c>
      <c r="G137" s="60">
        <f t="shared" si="4"/>
        <v>106.91</v>
      </c>
      <c r="H137" s="60"/>
      <c r="I137" s="61"/>
      <c r="K137" s="63"/>
    </row>
    <row r="138" spans="1:11" s="62" customFormat="1" ht="28.5">
      <c r="A138" s="54"/>
      <c r="B138" s="55" t="s">
        <v>172</v>
      </c>
      <c r="C138" s="64" t="s">
        <v>173</v>
      </c>
      <c r="D138" s="57" t="s">
        <v>6</v>
      </c>
      <c r="E138" s="59">
        <v>15.450000000000001</v>
      </c>
      <c r="F138" s="59">
        <f>TRUNC(17.3,2)</f>
        <v>17.3</v>
      </c>
      <c r="G138" s="60">
        <f t="shared" si="4"/>
        <v>267.28</v>
      </c>
      <c r="H138" s="60"/>
      <c r="I138" s="61"/>
      <c r="K138" s="63"/>
    </row>
    <row r="139" spans="1:11" s="62" customFormat="1" ht="14.25">
      <c r="A139" s="54"/>
      <c r="B139" s="55" t="s">
        <v>161</v>
      </c>
      <c r="C139" s="64" t="s">
        <v>433</v>
      </c>
      <c r="D139" s="57" t="s">
        <v>0</v>
      </c>
      <c r="E139" s="59">
        <v>1.1</v>
      </c>
      <c r="F139" s="59">
        <f>TRUNC(20.6164,2)</f>
        <v>20.61</v>
      </c>
      <c r="G139" s="60">
        <f t="shared" si="4"/>
        <v>22.67</v>
      </c>
      <c r="H139" s="60"/>
      <c r="I139" s="61"/>
      <c r="K139" s="63"/>
    </row>
    <row r="140" spans="1:11" s="62" customFormat="1" ht="14.25">
      <c r="A140" s="54"/>
      <c r="B140" s="55" t="s">
        <v>434</v>
      </c>
      <c r="C140" s="64" t="s">
        <v>435</v>
      </c>
      <c r="D140" s="57" t="s">
        <v>1</v>
      </c>
      <c r="E140" s="59">
        <v>1.05</v>
      </c>
      <c r="F140" s="59">
        <f>TRUNC(195.6056,2)</f>
        <v>195.6</v>
      </c>
      <c r="G140" s="60">
        <f t="shared" si="4"/>
        <v>205.38</v>
      </c>
      <c r="H140" s="60"/>
      <c r="I140" s="61"/>
      <c r="K140" s="63"/>
    </row>
    <row r="141" spans="1:11" s="62" customFormat="1" ht="14.25">
      <c r="A141" s="54"/>
      <c r="B141" s="55"/>
      <c r="C141" s="64"/>
      <c r="D141" s="57"/>
      <c r="E141" s="59" t="s">
        <v>7</v>
      </c>
      <c r="F141" s="59"/>
      <c r="G141" s="60">
        <f>TRUNC(SUM(G132:G140),2)</f>
        <v>1381.91</v>
      </c>
      <c r="H141" s="60"/>
      <c r="I141" s="61"/>
      <c r="K141" s="63"/>
    </row>
    <row r="142" spans="1:11" s="92" customFormat="1" ht="42.75">
      <c r="A142" s="85"/>
      <c r="B142" s="86" t="s">
        <v>681</v>
      </c>
      <c r="C142" s="87" t="s">
        <v>671</v>
      </c>
      <c r="D142" s="88" t="s">
        <v>1</v>
      </c>
      <c r="E142" s="89">
        <v>0.4</v>
      </c>
      <c r="F142" s="89">
        <f>TRUNC(484.46225,2)</f>
        <v>484.46</v>
      </c>
      <c r="G142" s="90">
        <f>TRUNC(F142*1.2977,2)</f>
        <v>628.68</v>
      </c>
      <c r="H142" s="90">
        <f>TRUNC(F142*E142,2)</f>
        <v>193.78</v>
      </c>
      <c r="I142" s="91">
        <f>TRUNC(E142*G142,2)</f>
        <v>251.47</v>
      </c>
      <c r="K142" s="93"/>
    </row>
    <row r="143" spans="1:11" s="62" customFormat="1" ht="15">
      <c r="A143" s="54"/>
      <c r="B143" s="82" t="s">
        <v>271</v>
      </c>
      <c r="C143" s="73" t="s">
        <v>272</v>
      </c>
      <c r="D143" s="101" t="s">
        <v>1</v>
      </c>
      <c r="E143" s="74">
        <v>0.105</v>
      </c>
      <c r="F143" s="74">
        <v>308.43</v>
      </c>
      <c r="G143" s="74">
        <f aca="true" t="shared" si="5" ref="G143:G148">TRUNC(E143*F143,2)</f>
        <v>32.38</v>
      </c>
      <c r="H143" s="59"/>
      <c r="I143" s="61"/>
      <c r="K143" s="63"/>
    </row>
    <row r="144" spans="1:11" s="62" customFormat="1" ht="14.25">
      <c r="A144" s="54"/>
      <c r="B144" s="55" t="s">
        <v>245</v>
      </c>
      <c r="C144" s="64" t="s">
        <v>139</v>
      </c>
      <c r="D144" s="57" t="s">
        <v>6</v>
      </c>
      <c r="E144" s="59">
        <v>5.538</v>
      </c>
      <c r="F144" s="59">
        <f>TRUNC(19.21,2)</f>
        <v>19.21</v>
      </c>
      <c r="G144" s="60">
        <f t="shared" si="5"/>
        <v>106.38</v>
      </c>
      <c r="H144" s="60"/>
      <c r="I144" s="61"/>
      <c r="K144" s="63"/>
    </row>
    <row r="145" spans="1:11" s="62" customFormat="1" ht="14.25">
      <c r="A145" s="54"/>
      <c r="B145" s="55" t="s">
        <v>367</v>
      </c>
      <c r="C145" s="64" t="s">
        <v>368</v>
      </c>
      <c r="D145" s="57" t="s">
        <v>6</v>
      </c>
      <c r="E145" s="59">
        <v>1.846</v>
      </c>
      <c r="F145" s="59">
        <f>TRUNC(24.16,2)</f>
        <v>24.16</v>
      </c>
      <c r="G145" s="60">
        <f t="shared" si="5"/>
        <v>44.59</v>
      </c>
      <c r="H145" s="60"/>
      <c r="I145" s="61"/>
      <c r="K145" s="63"/>
    </row>
    <row r="146" spans="1:11" s="80" customFormat="1" ht="15">
      <c r="A146" s="77"/>
      <c r="B146" s="78" t="s">
        <v>683</v>
      </c>
      <c r="C146" s="73" t="s">
        <v>673</v>
      </c>
      <c r="D146" s="79" t="s">
        <v>6</v>
      </c>
      <c r="E146" s="75">
        <v>0</v>
      </c>
      <c r="F146" s="75">
        <f>TRUNC(23.82,2)</f>
        <v>23.82</v>
      </c>
      <c r="G146" s="74">
        <f t="shared" si="5"/>
        <v>0</v>
      </c>
      <c r="H146" s="74"/>
      <c r="I146" s="76"/>
      <c r="K146" s="81"/>
    </row>
    <row r="147" spans="1:11" s="62" customFormat="1" ht="28.5">
      <c r="A147" s="54"/>
      <c r="B147" s="55" t="s">
        <v>684</v>
      </c>
      <c r="C147" s="64" t="s">
        <v>685</v>
      </c>
      <c r="D147" s="57" t="s">
        <v>468</v>
      </c>
      <c r="E147" s="59">
        <v>1.174</v>
      </c>
      <c r="F147" s="59">
        <f>TRUNC(0.29,2)</f>
        <v>0.29</v>
      </c>
      <c r="G147" s="60">
        <f t="shared" si="5"/>
        <v>0.34</v>
      </c>
      <c r="H147" s="60"/>
      <c r="I147" s="61"/>
      <c r="K147" s="63"/>
    </row>
    <row r="148" spans="1:11" s="62" customFormat="1" ht="28.5">
      <c r="A148" s="54"/>
      <c r="B148" s="55" t="s">
        <v>686</v>
      </c>
      <c r="C148" s="64" t="s">
        <v>687</v>
      </c>
      <c r="D148" s="57" t="s">
        <v>51</v>
      </c>
      <c r="E148" s="59">
        <v>0.672</v>
      </c>
      <c r="F148" s="59">
        <f>TRUNC(1.4,2)</f>
        <v>1.4</v>
      </c>
      <c r="G148" s="60">
        <f t="shared" si="5"/>
        <v>0.94</v>
      </c>
      <c r="H148" s="60"/>
      <c r="I148" s="61"/>
      <c r="K148" s="63"/>
    </row>
    <row r="149" spans="1:11" s="62" customFormat="1" ht="14.25">
      <c r="A149" s="54"/>
      <c r="B149" s="55"/>
      <c r="C149" s="64"/>
      <c r="D149" s="57"/>
      <c r="E149" s="59" t="s">
        <v>7</v>
      </c>
      <c r="F149" s="59"/>
      <c r="G149" s="60">
        <f>TRUNC(SUM(G143:G148),2)</f>
        <v>184.63</v>
      </c>
      <c r="H149" s="60"/>
      <c r="I149" s="61"/>
      <c r="K149" s="63"/>
    </row>
    <row r="150" spans="1:11" s="92" customFormat="1" ht="42.75">
      <c r="A150" s="85"/>
      <c r="B150" s="86" t="s">
        <v>682</v>
      </c>
      <c r="C150" s="87" t="s">
        <v>660</v>
      </c>
      <c r="D150" s="88" t="s">
        <v>5</v>
      </c>
      <c r="E150" s="89">
        <v>40.13</v>
      </c>
      <c r="F150" s="89">
        <f>TRUNC(11.270926,2)</f>
        <v>11.27</v>
      </c>
      <c r="G150" s="90">
        <f>TRUNC(F150*1.2977,2)</f>
        <v>14.62</v>
      </c>
      <c r="H150" s="90">
        <f>TRUNC(F150*E150,2)</f>
        <v>452.26</v>
      </c>
      <c r="I150" s="91">
        <f>TRUNC(E150*G150,2)</f>
        <v>586.7</v>
      </c>
      <c r="K150" s="93"/>
    </row>
    <row r="151" spans="1:11" s="62" customFormat="1" ht="28.5">
      <c r="A151" s="54"/>
      <c r="B151" s="55" t="s">
        <v>688</v>
      </c>
      <c r="C151" s="64" t="s">
        <v>662</v>
      </c>
      <c r="D151" s="57" t="s">
        <v>12</v>
      </c>
      <c r="E151" s="59">
        <v>0.743</v>
      </c>
      <c r="F151" s="59">
        <f>TRUNC(0.25,2)</f>
        <v>0.25</v>
      </c>
      <c r="G151" s="60">
        <f>TRUNC(E151*F151,2)</f>
        <v>0.18</v>
      </c>
      <c r="H151" s="60"/>
      <c r="I151" s="61"/>
      <c r="K151" s="63"/>
    </row>
    <row r="152" spans="1:11" s="62" customFormat="1" ht="14.25">
      <c r="A152" s="54"/>
      <c r="B152" s="55" t="s">
        <v>689</v>
      </c>
      <c r="C152" s="64" t="s">
        <v>664</v>
      </c>
      <c r="D152" s="57" t="s">
        <v>5</v>
      </c>
      <c r="E152" s="59">
        <v>0.025</v>
      </c>
      <c r="F152" s="59">
        <f>TRUNC(12.9,2)</f>
        <v>12.9</v>
      </c>
      <c r="G152" s="60">
        <f>TRUNC(E152*F152,2)</f>
        <v>0.32</v>
      </c>
      <c r="H152" s="60"/>
      <c r="I152" s="61"/>
      <c r="K152" s="63"/>
    </row>
    <row r="153" spans="1:11" s="62" customFormat="1" ht="14.25">
      <c r="A153" s="54"/>
      <c r="B153" s="55" t="s">
        <v>690</v>
      </c>
      <c r="C153" s="64" t="s">
        <v>666</v>
      </c>
      <c r="D153" s="57" t="s">
        <v>6</v>
      </c>
      <c r="E153" s="59">
        <v>0.1278</v>
      </c>
      <c r="F153" s="59">
        <f>TRUNC(24.02,2)</f>
        <v>24.02</v>
      </c>
      <c r="G153" s="60">
        <f>TRUNC(E153*F153,2)</f>
        <v>3.06</v>
      </c>
      <c r="H153" s="60"/>
      <c r="I153" s="61"/>
      <c r="K153" s="63"/>
    </row>
    <row r="154" spans="1:11" s="62" customFormat="1" ht="14.25">
      <c r="A154" s="54"/>
      <c r="B154" s="55" t="s">
        <v>691</v>
      </c>
      <c r="C154" s="64" t="s">
        <v>668</v>
      </c>
      <c r="D154" s="57" t="s">
        <v>6</v>
      </c>
      <c r="E154" s="59">
        <v>0.0209</v>
      </c>
      <c r="F154" s="59">
        <f>TRUNC(18.8,2)</f>
        <v>18.8</v>
      </c>
      <c r="G154" s="60">
        <f>TRUNC(E154*F154,2)</f>
        <v>0.39</v>
      </c>
      <c r="H154" s="60"/>
      <c r="I154" s="61"/>
      <c r="K154" s="63"/>
    </row>
    <row r="155" spans="1:11" s="62" customFormat="1" ht="28.5">
      <c r="A155" s="54"/>
      <c r="B155" s="55" t="s">
        <v>692</v>
      </c>
      <c r="C155" s="64" t="s">
        <v>693</v>
      </c>
      <c r="D155" s="57" t="s">
        <v>5</v>
      </c>
      <c r="E155" s="59">
        <v>1</v>
      </c>
      <c r="F155" s="59">
        <f>TRUNC(7.3,2)</f>
        <v>7.3</v>
      </c>
      <c r="G155" s="60">
        <f>TRUNC(E155*F155,2)</f>
        <v>7.3</v>
      </c>
      <c r="H155" s="60"/>
      <c r="I155" s="61"/>
      <c r="K155" s="63"/>
    </row>
    <row r="156" spans="1:11" s="62" customFormat="1" ht="14.25">
      <c r="A156" s="54"/>
      <c r="B156" s="55"/>
      <c r="C156" s="64"/>
      <c r="D156" s="57"/>
      <c r="E156" s="59" t="s">
        <v>7</v>
      </c>
      <c r="F156" s="59"/>
      <c r="G156" s="60">
        <f>TRUNC(SUM(G151:G155),2)</f>
        <v>11.25</v>
      </c>
      <c r="H156" s="60"/>
      <c r="I156" s="61"/>
      <c r="K156" s="63"/>
    </row>
    <row r="157" spans="1:10" s="39" customFormat="1" ht="15.75">
      <c r="A157" s="48" t="s">
        <v>52</v>
      </c>
      <c r="B157" s="50"/>
      <c r="C157" s="49"/>
      <c r="D157" s="50"/>
      <c r="E157" s="50"/>
      <c r="F157" s="50"/>
      <c r="G157" s="50" t="s">
        <v>191</v>
      </c>
      <c r="H157" s="51">
        <f>H102+H118+H131+H150+H142</f>
        <v>17971.849999999995</v>
      </c>
      <c r="I157" s="51">
        <f>I102+I118+I131+I150+I142</f>
        <v>23320.760000000002</v>
      </c>
      <c r="J157" s="39">
        <v>23341.140000000003</v>
      </c>
    </row>
    <row r="158" spans="1:9" s="38" customFormat="1" ht="15.75">
      <c r="A158" s="38" t="s">
        <v>21</v>
      </c>
      <c r="B158" s="46"/>
      <c r="C158" s="47" t="s">
        <v>67</v>
      </c>
      <c r="D158" s="47"/>
      <c r="E158" s="47"/>
      <c r="F158" s="47"/>
      <c r="G158" s="47"/>
      <c r="H158" s="47"/>
      <c r="I158" s="45"/>
    </row>
    <row r="159" spans="1:11" s="96" customFormat="1" ht="42.75">
      <c r="A159" s="96" t="s">
        <v>54</v>
      </c>
      <c r="B159" s="96" t="s">
        <v>644</v>
      </c>
      <c r="C159" s="96" t="s">
        <v>646</v>
      </c>
      <c r="D159" s="96" t="s">
        <v>0</v>
      </c>
      <c r="E159" s="96">
        <v>118.94</v>
      </c>
      <c r="F159" s="97">
        <f>TRUNC(G166,2)</f>
        <v>157.53</v>
      </c>
      <c r="G159" s="90">
        <f>TRUNC(F159*1.2977,2)</f>
        <v>204.42</v>
      </c>
      <c r="H159" s="90">
        <f>TRUNC(F159*E159,2)</f>
        <v>18736.61</v>
      </c>
      <c r="I159" s="91">
        <f>TRUNC(E159*G159,2)</f>
        <v>24313.71</v>
      </c>
      <c r="J159" s="96">
        <v>23655.97</v>
      </c>
      <c r="K159" s="100">
        <f>182.26*11.1</f>
        <v>2023.0859999999998</v>
      </c>
    </row>
    <row r="160" spans="2:9" s="73" customFormat="1" ht="30">
      <c r="B160" s="73" t="s">
        <v>273</v>
      </c>
      <c r="C160" s="73" t="s">
        <v>143</v>
      </c>
      <c r="D160" s="73" t="s">
        <v>0</v>
      </c>
      <c r="E160" s="73">
        <v>1.05</v>
      </c>
      <c r="F160" s="83">
        <v>22.82</v>
      </c>
      <c r="G160" s="74">
        <f aca="true" t="shared" si="6" ref="G160:G165">TRUNC(E160*F160,2)</f>
        <v>23.96</v>
      </c>
      <c r="H160" s="75"/>
      <c r="I160" s="76"/>
    </row>
    <row r="161" spans="2:11" s="64" customFormat="1" ht="28.5">
      <c r="B161" s="64" t="s">
        <v>242</v>
      </c>
      <c r="C161" s="64" t="s">
        <v>133</v>
      </c>
      <c r="D161" s="64" t="s">
        <v>3</v>
      </c>
      <c r="E161" s="64">
        <v>1.68</v>
      </c>
      <c r="F161" s="65">
        <f>TRUNC(59.31,2)</f>
        <v>59.31</v>
      </c>
      <c r="G161" s="60">
        <f t="shared" si="6"/>
        <v>99.64</v>
      </c>
      <c r="H161" s="60"/>
      <c r="I161" s="61"/>
      <c r="K161" s="108"/>
    </row>
    <row r="162" spans="2:11" s="64" customFormat="1" ht="14.25">
      <c r="B162" s="64" t="s">
        <v>243</v>
      </c>
      <c r="C162" s="64" t="s">
        <v>135</v>
      </c>
      <c r="D162" s="64" t="s">
        <v>5</v>
      </c>
      <c r="E162" s="64">
        <v>0.15</v>
      </c>
      <c r="F162" s="65">
        <f>TRUNC(11.76,2)</f>
        <v>11.76</v>
      </c>
      <c r="G162" s="60">
        <f t="shared" si="6"/>
        <v>1.76</v>
      </c>
      <c r="H162" s="60"/>
      <c r="I162" s="61"/>
      <c r="K162" s="108"/>
    </row>
    <row r="163" spans="2:11" s="64" customFormat="1" ht="14.25">
      <c r="B163" s="64" t="s">
        <v>244</v>
      </c>
      <c r="C163" s="64" t="s">
        <v>137</v>
      </c>
      <c r="D163" s="64" t="s">
        <v>5</v>
      </c>
      <c r="E163" s="64">
        <v>0.07</v>
      </c>
      <c r="F163" s="65">
        <f>TRUNC(13.6,2)</f>
        <v>13.6</v>
      </c>
      <c r="G163" s="60">
        <f t="shared" si="6"/>
        <v>0.95</v>
      </c>
      <c r="H163" s="60"/>
      <c r="I163" s="61"/>
      <c r="K163" s="108"/>
    </row>
    <row r="164" spans="2:11" s="64" customFormat="1" ht="14.25">
      <c r="B164" s="64" t="s">
        <v>245</v>
      </c>
      <c r="C164" s="64" t="s">
        <v>139</v>
      </c>
      <c r="D164" s="64" t="s">
        <v>6</v>
      </c>
      <c r="E164" s="64">
        <v>1</v>
      </c>
      <c r="F164" s="65">
        <f>TRUNC(19.21,2)</f>
        <v>19.21</v>
      </c>
      <c r="G164" s="60">
        <f t="shared" si="6"/>
        <v>19.21</v>
      </c>
      <c r="H164" s="60"/>
      <c r="I164" s="61"/>
      <c r="K164" s="108"/>
    </row>
    <row r="165" spans="2:11" s="64" customFormat="1" ht="14.25">
      <c r="B165" s="64" t="s">
        <v>246</v>
      </c>
      <c r="C165" s="64" t="s">
        <v>141</v>
      </c>
      <c r="D165" s="64" t="s">
        <v>6</v>
      </c>
      <c r="E165" s="64">
        <v>0.5</v>
      </c>
      <c r="F165" s="65">
        <f>TRUNC(24.02,2)</f>
        <v>24.02</v>
      </c>
      <c r="G165" s="60">
        <f t="shared" si="6"/>
        <v>12.01</v>
      </c>
      <c r="H165" s="60"/>
      <c r="I165" s="61"/>
      <c r="K165" s="108"/>
    </row>
    <row r="166" spans="5:11" s="64" customFormat="1" ht="14.25">
      <c r="E166" s="64" t="s">
        <v>7</v>
      </c>
      <c r="F166" s="65"/>
      <c r="G166" s="60">
        <f>TRUNC(SUM(G160:G165),2)</f>
        <v>157.53</v>
      </c>
      <c r="H166" s="60"/>
      <c r="I166" s="61"/>
      <c r="K166" s="108"/>
    </row>
    <row r="167" spans="1:11" s="96" customFormat="1" ht="85.5">
      <c r="A167" s="96" t="s">
        <v>192</v>
      </c>
      <c r="B167" s="96" t="s">
        <v>648</v>
      </c>
      <c r="C167" s="96" t="s">
        <v>470</v>
      </c>
      <c r="D167" s="96" t="s">
        <v>0</v>
      </c>
      <c r="E167" s="96">
        <v>1.88</v>
      </c>
      <c r="F167" s="97">
        <f>TRUNC(G173,2)</f>
        <v>510.61</v>
      </c>
      <c r="G167" s="90">
        <f>TRUNC(F167*1.2977,2)</f>
        <v>662.61</v>
      </c>
      <c r="H167" s="90">
        <f>TRUNC(F167*E167,2)</f>
        <v>959.94</v>
      </c>
      <c r="I167" s="91">
        <f>TRUNC(E167*G167,2)</f>
        <v>1245.7</v>
      </c>
      <c r="J167" s="96">
        <v>1224.74</v>
      </c>
      <c r="K167" s="100"/>
    </row>
    <row r="168" spans="2:11" s="64" customFormat="1" ht="14.25">
      <c r="B168" s="64" t="s">
        <v>471</v>
      </c>
      <c r="C168" s="64" t="s">
        <v>472</v>
      </c>
      <c r="D168" s="64" t="s">
        <v>5</v>
      </c>
      <c r="E168" s="64">
        <v>6.8999999999999995</v>
      </c>
      <c r="F168" s="65">
        <f>TRUNC(5.23,2)</f>
        <v>5.23</v>
      </c>
      <c r="G168" s="60">
        <f>TRUNC(E168*F168,2)</f>
        <v>36.08</v>
      </c>
      <c r="H168" s="60"/>
      <c r="I168" s="61"/>
      <c r="K168" s="108"/>
    </row>
    <row r="169" spans="2:9" s="73" customFormat="1" ht="30">
      <c r="B169" s="73" t="s">
        <v>273</v>
      </c>
      <c r="C169" s="73" t="s">
        <v>143</v>
      </c>
      <c r="D169" s="73" t="s">
        <v>0</v>
      </c>
      <c r="E169" s="73">
        <v>1.05</v>
      </c>
      <c r="F169" s="83">
        <v>22.82</v>
      </c>
      <c r="G169" s="74">
        <f>TRUNC(E169*F169,2)</f>
        <v>23.96</v>
      </c>
      <c r="H169" s="75"/>
      <c r="I169" s="76"/>
    </row>
    <row r="170" spans="2:11" s="64" customFormat="1" ht="14.25">
      <c r="B170" s="64" t="s">
        <v>180</v>
      </c>
      <c r="C170" s="64" t="s">
        <v>473</v>
      </c>
      <c r="D170" s="64" t="s">
        <v>3</v>
      </c>
      <c r="E170" s="64">
        <v>6.8999999999999995</v>
      </c>
      <c r="F170" s="65">
        <f>TRUNC(46.69,2)</f>
        <v>46.69</v>
      </c>
      <c r="G170" s="60">
        <f>TRUNC(E170*F170,2)</f>
        <v>322.16</v>
      </c>
      <c r="H170" s="60"/>
      <c r="I170" s="61"/>
      <c r="K170" s="108"/>
    </row>
    <row r="171" spans="2:11" s="64" customFormat="1" ht="28.5">
      <c r="B171" s="64" t="s">
        <v>72</v>
      </c>
      <c r="C171" s="64" t="s">
        <v>73</v>
      </c>
      <c r="D171" s="64" t="s">
        <v>6</v>
      </c>
      <c r="E171" s="64">
        <v>4.12</v>
      </c>
      <c r="F171" s="65">
        <f>TRUNC(12.54,2)</f>
        <v>12.54</v>
      </c>
      <c r="G171" s="60">
        <f>TRUNC(E171*F171,2)</f>
        <v>51.66</v>
      </c>
      <c r="H171" s="60"/>
      <c r="I171" s="61"/>
      <c r="K171" s="108"/>
    </row>
    <row r="172" spans="2:11" s="64" customFormat="1" ht="28.5">
      <c r="B172" s="64" t="s">
        <v>85</v>
      </c>
      <c r="C172" s="64" t="s">
        <v>86</v>
      </c>
      <c r="D172" s="64" t="s">
        <v>6</v>
      </c>
      <c r="E172" s="64">
        <v>4.12</v>
      </c>
      <c r="F172" s="65">
        <f>TRUNC(18.63,2)</f>
        <v>18.63</v>
      </c>
      <c r="G172" s="60">
        <f>TRUNC(E172*F172,2)</f>
        <v>76.75</v>
      </c>
      <c r="H172" s="60"/>
      <c r="I172" s="61"/>
      <c r="K172" s="108"/>
    </row>
    <row r="173" spans="5:11" s="64" customFormat="1" ht="14.25">
      <c r="E173" s="64" t="s">
        <v>7</v>
      </c>
      <c r="F173" s="65"/>
      <c r="G173" s="60">
        <f>TRUNC(SUM(G168:G172),2)</f>
        <v>510.61</v>
      </c>
      <c r="H173" s="60"/>
      <c r="I173" s="61"/>
      <c r="K173" s="108"/>
    </row>
    <row r="174" spans="1:11" s="92" customFormat="1" ht="57">
      <c r="A174" s="85" t="s">
        <v>474</v>
      </c>
      <c r="B174" s="86" t="s">
        <v>92</v>
      </c>
      <c r="C174" s="87" t="s">
        <v>647</v>
      </c>
      <c r="D174" s="88" t="s">
        <v>3</v>
      </c>
      <c r="E174" s="89">
        <v>25.4</v>
      </c>
      <c r="F174" s="89">
        <f>TRUNC(G178,2)</f>
        <v>75.1</v>
      </c>
      <c r="G174" s="90">
        <f>TRUNC(F174*1.2977,2)</f>
        <v>97.45</v>
      </c>
      <c r="H174" s="90">
        <f>TRUNC(F174*E174,2)</f>
        <v>1907.54</v>
      </c>
      <c r="I174" s="91">
        <f>TRUNC(E174*G174,2)</f>
        <v>2475.23</v>
      </c>
      <c r="J174" s="92">
        <v>1215.87</v>
      </c>
      <c r="K174" s="93"/>
    </row>
    <row r="175" spans="1:11" s="62" customFormat="1" ht="14.25">
      <c r="A175" s="54"/>
      <c r="B175" s="55" t="s">
        <v>180</v>
      </c>
      <c r="C175" s="64" t="s">
        <v>473</v>
      </c>
      <c r="D175" s="57" t="s">
        <v>3</v>
      </c>
      <c r="E175" s="59">
        <v>1.265</v>
      </c>
      <c r="F175" s="59">
        <f>TRUNC(46.69,2)</f>
        <v>46.69</v>
      </c>
      <c r="G175" s="60">
        <f>TRUNC(E175*F175,2)</f>
        <v>59.06</v>
      </c>
      <c r="H175" s="60"/>
      <c r="I175" s="61"/>
      <c r="K175" s="63"/>
    </row>
    <row r="176" spans="1:11" s="62" customFormat="1" ht="28.5">
      <c r="A176" s="54"/>
      <c r="B176" s="55" t="s">
        <v>72</v>
      </c>
      <c r="C176" s="64" t="s">
        <v>73</v>
      </c>
      <c r="D176" s="57" t="s">
        <v>6</v>
      </c>
      <c r="E176" s="59">
        <v>0.515</v>
      </c>
      <c r="F176" s="59">
        <f>TRUNC(12.54,2)</f>
        <v>12.54</v>
      </c>
      <c r="G176" s="60">
        <f>TRUNC(E176*F176,2)</f>
        <v>6.45</v>
      </c>
      <c r="H176" s="60"/>
      <c r="I176" s="61"/>
      <c r="K176" s="63"/>
    </row>
    <row r="177" spans="1:11" s="62" customFormat="1" ht="28.5">
      <c r="A177" s="54"/>
      <c r="B177" s="55" t="s">
        <v>85</v>
      </c>
      <c r="C177" s="64" t="s">
        <v>86</v>
      </c>
      <c r="D177" s="57" t="s">
        <v>6</v>
      </c>
      <c r="E177" s="59">
        <v>0.515</v>
      </c>
      <c r="F177" s="59">
        <f>TRUNC(18.63,2)</f>
        <v>18.63</v>
      </c>
      <c r="G177" s="60">
        <f>TRUNC(E177*F177,2)</f>
        <v>9.59</v>
      </c>
      <c r="H177" s="60"/>
      <c r="I177" s="61"/>
      <c r="K177" s="63"/>
    </row>
    <row r="178" spans="1:11" s="62" customFormat="1" ht="14.25">
      <c r="A178" s="54"/>
      <c r="B178" s="55"/>
      <c r="C178" s="64"/>
      <c r="D178" s="57"/>
      <c r="E178" s="59" t="s">
        <v>7</v>
      </c>
      <c r="F178" s="59"/>
      <c r="G178" s="60">
        <f>TRUNC(SUM(G175:G177),2)</f>
        <v>75.1</v>
      </c>
      <c r="H178" s="60"/>
      <c r="I178" s="61"/>
      <c r="K178" s="63"/>
    </row>
    <row r="179" spans="1:10" s="39" customFormat="1" ht="15.75">
      <c r="A179" s="48" t="s">
        <v>52</v>
      </c>
      <c r="B179" s="50"/>
      <c r="C179" s="49"/>
      <c r="D179" s="50"/>
      <c r="E179" s="50"/>
      <c r="F179" s="50"/>
      <c r="G179" s="50" t="s">
        <v>55</v>
      </c>
      <c r="H179" s="53">
        <f>H159+H174+H167</f>
        <v>21604.09</v>
      </c>
      <c r="I179" s="53">
        <f>I159+I174+I167</f>
        <v>28034.64</v>
      </c>
      <c r="J179" s="39">
        <v>24871.84</v>
      </c>
    </row>
    <row r="180" spans="1:9" s="38" customFormat="1" ht="15.75">
      <c r="A180" s="38" t="s">
        <v>22</v>
      </c>
      <c r="B180" s="46"/>
      <c r="C180" s="47" t="s">
        <v>68</v>
      </c>
      <c r="D180" s="47"/>
      <c r="E180" s="47"/>
      <c r="F180" s="47"/>
      <c r="G180" s="47"/>
      <c r="H180" s="47"/>
      <c r="I180" s="45"/>
    </row>
    <row r="181" spans="1:11" s="92" customFormat="1" ht="57">
      <c r="A181" s="85" t="s">
        <v>13</v>
      </c>
      <c r="B181" s="86" t="s">
        <v>93</v>
      </c>
      <c r="C181" s="87" t="s">
        <v>181</v>
      </c>
      <c r="D181" s="88" t="s">
        <v>0</v>
      </c>
      <c r="E181" s="89">
        <v>120.82</v>
      </c>
      <c r="F181" s="89">
        <f>TRUNC(G187,2)</f>
        <v>15.79</v>
      </c>
      <c r="G181" s="90">
        <f>TRUNC(F181*1.2977,2)</f>
        <v>20.49</v>
      </c>
      <c r="H181" s="90">
        <f>TRUNC(F181*E181,2)</f>
        <v>1907.74</v>
      </c>
      <c r="I181" s="91">
        <f>TRUNC(E181*G181,2)</f>
        <v>2475.6</v>
      </c>
      <c r="J181" s="92">
        <v>2474.39</v>
      </c>
      <c r="K181" s="93">
        <f>E159+E167</f>
        <v>120.82</v>
      </c>
    </row>
    <row r="182" spans="1:11" s="62" customFormat="1" ht="14.25">
      <c r="A182" s="54"/>
      <c r="B182" s="55" t="s">
        <v>58</v>
      </c>
      <c r="C182" s="64" t="s">
        <v>94</v>
      </c>
      <c r="D182" s="57" t="s">
        <v>48</v>
      </c>
      <c r="E182" s="59">
        <v>0.035</v>
      </c>
      <c r="F182" s="59">
        <f>TRUNC(178.5,2)</f>
        <v>178.5</v>
      </c>
      <c r="G182" s="60">
        <f>TRUNC(E182*F182,2)</f>
        <v>6.24</v>
      </c>
      <c r="H182" s="60"/>
      <c r="I182" s="61"/>
      <c r="K182" s="63"/>
    </row>
    <row r="183" spans="1:11" s="62" customFormat="1" ht="14.25">
      <c r="A183" s="54"/>
      <c r="B183" s="55" t="s">
        <v>59</v>
      </c>
      <c r="C183" s="64" t="s">
        <v>95</v>
      </c>
      <c r="D183" s="57" t="s">
        <v>5</v>
      </c>
      <c r="E183" s="59">
        <v>0.025</v>
      </c>
      <c r="F183" s="59">
        <f>TRUNC(20.61,2)</f>
        <v>20.61</v>
      </c>
      <c r="G183" s="60">
        <f>TRUNC(E183*F183,2)</f>
        <v>0.51</v>
      </c>
      <c r="H183" s="60"/>
      <c r="I183" s="61"/>
      <c r="K183" s="63"/>
    </row>
    <row r="184" spans="1:11" s="62" customFormat="1" ht="14.25">
      <c r="A184" s="54"/>
      <c r="B184" s="55" t="s">
        <v>49</v>
      </c>
      <c r="C184" s="64" t="s">
        <v>96</v>
      </c>
      <c r="D184" s="57" t="s">
        <v>48</v>
      </c>
      <c r="E184" s="59">
        <v>0.05</v>
      </c>
      <c r="F184" s="59">
        <f>TRUNC(59.78,2)</f>
        <v>59.78</v>
      </c>
      <c r="G184" s="60">
        <f>TRUNC(E184*F184,2)</f>
        <v>2.98</v>
      </c>
      <c r="H184" s="60"/>
      <c r="I184" s="61"/>
      <c r="K184" s="63"/>
    </row>
    <row r="185" spans="1:11" s="62" customFormat="1" ht="28.5">
      <c r="A185" s="54"/>
      <c r="B185" s="55" t="s">
        <v>72</v>
      </c>
      <c r="C185" s="64" t="s">
        <v>73</v>
      </c>
      <c r="D185" s="57" t="s">
        <v>6</v>
      </c>
      <c r="E185" s="59">
        <v>0.12875</v>
      </c>
      <c r="F185" s="59">
        <f>TRUNC(12.54,2)</f>
        <v>12.54</v>
      </c>
      <c r="G185" s="60">
        <f>TRUNC(E185*F185,2)</f>
        <v>1.61</v>
      </c>
      <c r="H185" s="60"/>
      <c r="I185" s="61"/>
      <c r="K185" s="63"/>
    </row>
    <row r="186" spans="1:11" s="62" customFormat="1" ht="14.25">
      <c r="A186" s="54"/>
      <c r="B186" s="55" t="s">
        <v>74</v>
      </c>
      <c r="C186" s="64" t="s">
        <v>75</v>
      </c>
      <c r="D186" s="57" t="s">
        <v>6</v>
      </c>
      <c r="E186" s="59">
        <v>0.2575</v>
      </c>
      <c r="F186" s="59">
        <f>TRUNC(17.3,2)</f>
        <v>17.3</v>
      </c>
      <c r="G186" s="60">
        <f>TRUNC(E186*F186,2)</f>
        <v>4.45</v>
      </c>
      <c r="H186" s="60"/>
      <c r="I186" s="61"/>
      <c r="K186" s="63"/>
    </row>
    <row r="187" spans="1:11" s="62" customFormat="1" ht="14.25">
      <c r="A187" s="54"/>
      <c r="B187" s="55"/>
      <c r="C187" s="64"/>
      <c r="D187" s="57"/>
      <c r="E187" s="59" t="s">
        <v>7</v>
      </c>
      <c r="F187" s="59"/>
      <c r="G187" s="60">
        <f>TRUNC(SUM(G182:G186),2)</f>
        <v>15.79</v>
      </c>
      <c r="H187" s="60"/>
      <c r="I187" s="61"/>
      <c r="K187" s="63"/>
    </row>
    <row r="188" spans="1:12" s="92" customFormat="1" ht="42.75">
      <c r="A188" s="85" t="s">
        <v>14</v>
      </c>
      <c r="B188" s="86" t="s">
        <v>130</v>
      </c>
      <c r="C188" s="87" t="s">
        <v>182</v>
      </c>
      <c r="D188" s="88" t="s">
        <v>0</v>
      </c>
      <c r="E188" s="89">
        <v>216.9</v>
      </c>
      <c r="F188" s="89">
        <f>TRUNC(G193,2)</f>
        <v>10.1</v>
      </c>
      <c r="G188" s="90">
        <f>TRUNC(F188*1.2977,2)</f>
        <v>13.1</v>
      </c>
      <c r="H188" s="90">
        <f>TRUNC(F188*E188,2)</f>
        <v>2190.69</v>
      </c>
      <c r="I188" s="91">
        <f>TRUNC(E188*G188,2)</f>
        <v>2841.39</v>
      </c>
      <c r="J188" s="92">
        <v>2982.37</v>
      </c>
      <c r="K188" s="93"/>
      <c r="L188" s="92">
        <v>9.9</v>
      </c>
    </row>
    <row r="189" spans="1:11" s="62" customFormat="1" ht="14.25">
      <c r="A189" s="54"/>
      <c r="B189" s="55" t="s">
        <v>183</v>
      </c>
      <c r="C189" s="64" t="s">
        <v>124</v>
      </c>
      <c r="D189" s="57" t="s">
        <v>48</v>
      </c>
      <c r="E189" s="59">
        <v>0.0775</v>
      </c>
      <c r="F189" s="59">
        <f>TRUNC(30.53,2)</f>
        <v>30.53</v>
      </c>
      <c r="G189" s="60">
        <f>TRUNC(E189*F189,2)</f>
        <v>2.36</v>
      </c>
      <c r="H189" s="60"/>
      <c r="I189" s="61"/>
      <c r="K189" s="63"/>
    </row>
    <row r="190" spans="1:11" s="62" customFormat="1" ht="14.25">
      <c r="A190" s="54"/>
      <c r="B190" s="55" t="s">
        <v>184</v>
      </c>
      <c r="C190" s="64" t="s">
        <v>131</v>
      </c>
      <c r="D190" s="57" t="s">
        <v>12</v>
      </c>
      <c r="E190" s="59">
        <v>0.5</v>
      </c>
      <c r="F190" s="59">
        <f>TRUNC(0.94,2)</f>
        <v>0.94</v>
      </c>
      <c r="G190" s="60">
        <f>TRUNC(E190*F190,2)</f>
        <v>0.47</v>
      </c>
      <c r="H190" s="60"/>
      <c r="I190" s="61"/>
      <c r="K190" s="63"/>
    </row>
    <row r="191" spans="1:11" s="62" customFormat="1" ht="28.5">
      <c r="A191" s="54"/>
      <c r="B191" s="55" t="s">
        <v>72</v>
      </c>
      <c r="C191" s="64" t="s">
        <v>73</v>
      </c>
      <c r="D191" s="57" t="s">
        <v>6</v>
      </c>
      <c r="E191" s="59">
        <v>0.1545</v>
      </c>
      <c r="F191" s="59">
        <f>TRUNC(12.54,2)</f>
        <v>12.54</v>
      </c>
      <c r="G191" s="60">
        <f>TRUNC(E191*F191,2)</f>
        <v>1.93</v>
      </c>
      <c r="H191" s="60"/>
      <c r="I191" s="61"/>
      <c r="K191" s="63"/>
    </row>
    <row r="192" spans="1:11" s="62" customFormat="1" ht="14.25">
      <c r="A192" s="54"/>
      <c r="B192" s="55" t="s">
        <v>74</v>
      </c>
      <c r="C192" s="64" t="s">
        <v>75</v>
      </c>
      <c r="D192" s="57" t="s">
        <v>6</v>
      </c>
      <c r="E192" s="59">
        <v>0.309</v>
      </c>
      <c r="F192" s="59">
        <f>TRUNC(17.3,2)</f>
        <v>17.3</v>
      </c>
      <c r="G192" s="60">
        <f>TRUNC(E192*F192,2)</f>
        <v>5.34</v>
      </c>
      <c r="H192" s="60"/>
      <c r="I192" s="61"/>
      <c r="K192" s="63"/>
    </row>
    <row r="193" spans="1:11" s="62" customFormat="1" ht="14.25">
      <c r="A193" s="54"/>
      <c r="B193" s="55"/>
      <c r="C193" s="64"/>
      <c r="D193" s="57"/>
      <c r="E193" s="59" t="s">
        <v>7</v>
      </c>
      <c r="F193" s="59"/>
      <c r="G193" s="60">
        <f>TRUNC(SUM(G189:G192),2)</f>
        <v>10.1</v>
      </c>
      <c r="H193" s="60"/>
      <c r="I193" s="61"/>
      <c r="K193" s="63"/>
    </row>
    <row r="194" spans="1:11" s="92" customFormat="1" ht="57">
      <c r="A194" s="85" t="s">
        <v>15</v>
      </c>
      <c r="B194" s="86" t="s">
        <v>123</v>
      </c>
      <c r="C194" s="87" t="s">
        <v>185</v>
      </c>
      <c r="D194" s="88" t="s">
        <v>0</v>
      </c>
      <c r="E194" s="89">
        <v>4.78</v>
      </c>
      <c r="F194" s="89">
        <f>TRUNC(G202,2)</f>
        <v>47.26</v>
      </c>
      <c r="G194" s="90">
        <f>TRUNC(F194*1.2882,2)</f>
        <v>60.88</v>
      </c>
      <c r="H194" s="90">
        <f>TRUNC(F194*E194,2)</f>
        <v>225.9</v>
      </c>
      <c r="I194" s="91">
        <f>TRUNC(E194*G194,2)</f>
        <v>291</v>
      </c>
      <c r="J194" s="92">
        <v>315.76</v>
      </c>
      <c r="K194" s="93"/>
    </row>
    <row r="195" spans="1:11" s="62" customFormat="1" ht="14.25">
      <c r="A195" s="54"/>
      <c r="B195" s="55" t="s">
        <v>186</v>
      </c>
      <c r="C195" s="64" t="s">
        <v>125</v>
      </c>
      <c r="D195" s="57" t="s">
        <v>12</v>
      </c>
      <c r="E195" s="59">
        <v>0.24</v>
      </c>
      <c r="F195" s="59">
        <f>TRUNC(5.9,2)</f>
        <v>5.9</v>
      </c>
      <c r="G195" s="60">
        <f aca="true" t="shared" si="7" ref="G195:G201">TRUNC(E195*F195,2)</f>
        <v>1.41</v>
      </c>
      <c r="H195" s="60"/>
      <c r="I195" s="61"/>
      <c r="K195" s="63"/>
    </row>
    <row r="196" spans="1:11" s="62" customFormat="1" ht="14.25">
      <c r="A196" s="54"/>
      <c r="B196" s="55" t="s">
        <v>183</v>
      </c>
      <c r="C196" s="64" t="s">
        <v>124</v>
      </c>
      <c r="D196" s="57" t="s">
        <v>48</v>
      </c>
      <c r="E196" s="59">
        <v>0.0775</v>
      </c>
      <c r="F196" s="59">
        <f>TRUNC(30.53,2)</f>
        <v>30.53</v>
      </c>
      <c r="G196" s="60">
        <f t="shared" si="7"/>
        <v>2.36</v>
      </c>
      <c r="H196" s="60"/>
      <c r="I196" s="61"/>
      <c r="K196" s="63"/>
    </row>
    <row r="197" spans="1:11" s="62" customFormat="1" ht="28.5">
      <c r="A197" s="54"/>
      <c r="B197" s="55" t="s">
        <v>187</v>
      </c>
      <c r="C197" s="64" t="s">
        <v>127</v>
      </c>
      <c r="D197" s="57" t="s">
        <v>6</v>
      </c>
      <c r="E197" s="59">
        <v>0.20600000000000002</v>
      </c>
      <c r="F197" s="59">
        <f>TRUNC(23.95,2)</f>
        <v>23.95</v>
      </c>
      <c r="G197" s="60">
        <f t="shared" si="7"/>
        <v>4.93</v>
      </c>
      <c r="H197" s="60"/>
      <c r="I197" s="61"/>
      <c r="K197" s="63"/>
    </row>
    <row r="198" spans="1:11" s="62" customFormat="1" ht="14.25">
      <c r="A198" s="54"/>
      <c r="B198" s="55" t="s">
        <v>74</v>
      </c>
      <c r="C198" s="64" t="s">
        <v>75</v>
      </c>
      <c r="D198" s="57" t="s">
        <v>6</v>
      </c>
      <c r="E198" s="59">
        <v>2.06</v>
      </c>
      <c r="F198" s="59">
        <f>TRUNC(17.3,2)</f>
        <v>17.3</v>
      </c>
      <c r="G198" s="60">
        <f t="shared" si="7"/>
        <v>35.63</v>
      </c>
      <c r="H198" s="60"/>
      <c r="I198" s="61"/>
      <c r="K198" s="63"/>
    </row>
    <row r="199" spans="1:11" s="62" customFormat="1" ht="14.25">
      <c r="A199" s="54"/>
      <c r="B199" s="55" t="s">
        <v>188</v>
      </c>
      <c r="C199" s="64" t="s">
        <v>126</v>
      </c>
      <c r="D199" s="57" t="s">
        <v>6</v>
      </c>
      <c r="E199" s="59">
        <v>0.20600000000000002</v>
      </c>
      <c r="F199" s="59">
        <f>TRUNC(13.19,2)</f>
        <v>13.19</v>
      </c>
      <c r="G199" s="60">
        <f t="shared" si="7"/>
        <v>2.71</v>
      </c>
      <c r="H199" s="60"/>
      <c r="I199" s="61"/>
      <c r="K199" s="63"/>
    </row>
    <row r="200" spans="1:11" s="62" customFormat="1" ht="14.25">
      <c r="A200" s="54"/>
      <c r="B200" s="55" t="s">
        <v>189</v>
      </c>
      <c r="C200" s="64" t="s">
        <v>129</v>
      </c>
      <c r="D200" s="57" t="s">
        <v>6</v>
      </c>
      <c r="E200" s="59">
        <v>0.03</v>
      </c>
      <c r="F200" s="59">
        <f>TRUNC(1.6953,2)</f>
        <v>1.69</v>
      </c>
      <c r="G200" s="60">
        <f t="shared" si="7"/>
        <v>0.05</v>
      </c>
      <c r="H200" s="60"/>
      <c r="I200" s="61"/>
      <c r="K200" s="63"/>
    </row>
    <row r="201" spans="1:11" s="62" customFormat="1" ht="14.25">
      <c r="A201" s="54"/>
      <c r="B201" s="55" t="s">
        <v>190</v>
      </c>
      <c r="C201" s="64" t="s">
        <v>128</v>
      </c>
      <c r="D201" s="57" t="s">
        <v>6</v>
      </c>
      <c r="E201" s="59">
        <v>0.07</v>
      </c>
      <c r="F201" s="59">
        <f>TRUNC(2.493,2)</f>
        <v>2.49</v>
      </c>
      <c r="G201" s="60">
        <f t="shared" si="7"/>
        <v>0.17</v>
      </c>
      <c r="H201" s="60"/>
      <c r="I201" s="61"/>
      <c r="K201" s="63"/>
    </row>
    <row r="202" spans="1:11" s="62" customFormat="1" ht="14.25">
      <c r="A202" s="54"/>
      <c r="B202" s="55"/>
      <c r="C202" s="64"/>
      <c r="D202" s="57"/>
      <c r="E202" s="59" t="s">
        <v>7</v>
      </c>
      <c r="F202" s="59"/>
      <c r="G202" s="60">
        <f>TRUNC(SUM(G195:G201),2)</f>
        <v>47.26</v>
      </c>
      <c r="H202" s="60"/>
      <c r="I202" s="61"/>
      <c r="K202" s="63"/>
    </row>
    <row r="203" spans="1:11" s="92" customFormat="1" ht="42.75">
      <c r="A203" s="85" t="s">
        <v>449</v>
      </c>
      <c r="B203" s="86" t="s">
        <v>401</v>
      </c>
      <c r="C203" s="87" t="s">
        <v>402</v>
      </c>
      <c r="D203" s="88" t="s">
        <v>12</v>
      </c>
      <c r="E203" s="89">
        <v>2</v>
      </c>
      <c r="F203" s="89">
        <f>TRUNC(G207,2)</f>
        <v>28.65</v>
      </c>
      <c r="G203" s="90">
        <f>TRUNC(F203*1.2977,2)</f>
        <v>37.17</v>
      </c>
      <c r="H203" s="90">
        <f>TRUNC(F203*E203,2)</f>
        <v>57.3</v>
      </c>
      <c r="I203" s="91">
        <f>TRUNC(E203*G203,2)</f>
        <v>74.34</v>
      </c>
      <c r="J203" s="92">
        <v>76.36</v>
      </c>
      <c r="K203" s="93"/>
    </row>
    <row r="204" spans="1:11" s="62" customFormat="1" ht="14.25">
      <c r="A204" s="54"/>
      <c r="B204" s="55" t="s">
        <v>403</v>
      </c>
      <c r="C204" s="64" t="s">
        <v>404</v>
      </c>
      <c r="D204" s="57" t="s">
        <v>48</v>
      </c>
      <c r="E204" s="59">
        <v>0.1</v>
      </c>
      <c r="F204" s="59">
        <f>TRUNC(67.41,2)</f>
        <v>67.41</v>
      </c>
      <c r="G204" s="60">
        <f>TRUNC(E204*F204,2)</f>
        <v>6.74</v>
      </c>
      <c r="H204" s="60"/>
      <c r="I204" s="61"/>
      <c r="K204" s="63"/>
    </row>
    <row r="205" spans="1:11" s="62" customFormat="1" ht="14.25">
      <c r="A205" s="54"/>
      <c r="B205" s="55" t="s">
        <v>405</v>
      </c>
      <c r="C205" s="64" t="s">
        <v>406</v>
      </c>
      <c r="D205" s="57" t="s">
        <v>12</v>
      </c>
      <c r="E205" s="59">
        <v>0.1</v>
      </c>
      <c r="F205" s="59">
        <f>TRUNC(53.82,2)</f>
        <v>53.82</v>
      </c>
      <c r="G205" s="60">
        <f>TRUNC(E205*F205,2)</f>
        <v>5.38</v>
      </c>
      <c r="H205" s="60"/>
      <c r="I205" s="61"/>
      <c r="K205" s="63"/>
    </row>
    <row r="206" spans="1:11" s="62" customFormat="1" ht="28.5">
      <c r="A206" s="54"/>
      <c r="B206" s="55" t="s">
        <v>285</v>
      </c>
      <c r="C206" s="64" t="s">
        <v>286</v>
      </c>
      <c r="D206" s="57" t="s">
        <v>6</v>
      </c>
      <c r="E206" s="59">
        <v>1.545</v>
      </c>
      <c r="F206" s="59">
        <f>TRUNC(10.7,2)</f>
        <v>10.7</v>
      </c>
      <c r="G206" s="60">
        <f>TRUNC(E206*F206,2)</f>
        <v>16.53</v>
      </c>
      <c r="H206" s="60"/>
      <c r="I206" s="61"/>
      <c r="K206" s="63"/>
    </row>
    <row r="207" spans="1:11" s="62" customFormat="1" ht="14.25">
      <c r="A207" s="54"/>
      <c r="B207" s="55"/>
      <c r="C207" s="64"/>
      <c r="D207" s="57"/>
      <c r="E207" s="59" t="s">
        <v>7</v>
      </c>
      <c r="F207" s="59"/>
      <c r="G207" s="60">
        <f>TRUNC(SUM(G204:G206),2)</f>
        <v>28.65</v>
      </c>
      <c r="H207" s="60"/>
      <c r="I207" s="61"/>
      <c r="K207" s="63"/>
    </row>
    <row r="208" spans="1:11" s="92" customFormat="1" ht="71.25">
      <c r="A208" s="85" t="s">
        <v>450</v>
      </c>
      <c r="B208" s="86" t="s">
        <v>440</v>
      </c>
      <c r="C208" s="87" t="s">
        <v>441</v>
      </c>
      <c r="D208" s="88" t="s">
        <v>0</v>
      </c>
      <c r="E208" s="89">
        <v>3.6</v>
      </c>
      <c r="F208" s="89">
        <f>TRUNC(G214,2)</f>
        <v>12.38</v>
      </c>
      <c r="G208" s="90">
        <f>TRUNC(F208*1.2977,2)</f>
        <v>16.06</v>
      </c>
      <c r="H208" s="90">
        <f>TRUNC(F208*E208,2)</f>
        <v>44.56</v>
      </c>
      <c r="I208" s="91">
        <f>TRUNC(E208*G208,2)</f>
        <v>57.81</v>
      </c>
      <c r="J208" s="92">
        <v>60.3</v>
      </c>
      <c r="K208" s="93">
        <f>15.74*22.2</f>
        <v>349.428</v>
      </c>
    </row>
    <row r="209" spans="1:11" s="62" customFormat="1" ht="14.25">
      <c r="A209" s="54"/>
      <c r="B209" s="55" t="s">
        <v>436</v>
      </c>
      <c r="C209" s="64" t="s">
        <v>437</v>
      </c>
      <c r="D209" s="57" t="s">
        <v>12</v>
      </c>
      <c r="E209" s="59">
        <v>0.5</v>
      </c>
      <c r="F209" s="59">
        <f>TRUNC(0.65,2)</f>
        <v>0.65</v>
      </c>
      <c r="G209" s="60">
        <f>TRUNC(E209*F209,2)</f>
        <v>0.32</v>
      </c>
      <c r="H209" s="60"/>
      <c r="I209" s="61"/>
      <c r="K209" s="63"/>
    </row>
    <row r="210" spans="1:11" s="62" customFormat="1" ht="14.25">
      <c r="A210" s="54"/>
      <c r="B210" s="55" t="s">
        <v>438</v>
      </c>
      <c r="C210" s="64" t="s">
        <v>439</v>
      </c>
      <c r="D210" s="57" t="s">
        <v>48</v>
      </c>
      <c r="E210" s="59">
        <v>0.04</v>
      </c>
      <c r="F210" s="59">
        <f>TRUNC(17.7,2)</f>
        <v>17.7</v>
      </c>
      <c r="G210" s="60">
        <f>TRUNC(E210*F210,2)</f>
        <v>0.7</v>
      </c>
      <c r="H210" s="60"/>
      <c r="I210" s="61"/>
      <c r="K210" s="63"/>
    </row>
    <row r="211" spans="1:11" s="62" customFormat="1" ht="28.5">
      <c r="A211" s="54"/>
      <c r="B211" s="55" t="s">
        <v>442</v>
      </c>
      <c r="C211" s="64" t="s">
        <v>443</v>
      </c>
      <c r="D211" s="57" t="s">
        <v>12</v>
      </c>
      <c r="E211" s="59">
        <v>0.012</v>
      </c>
      <c r="F211" s="59">
        <f>TRUNC(239.93,2)</f>
        <v>239.93</v>
      </c>
      <c r="G211" s="60">
        <f>TRUNC(E211*F211,2)</f>
        <v>2.87</v>
      </c>
      <c r="H211" s="60"/>
      <c r="I211" s="61"/>
      <c r="K211" s="63"/>
    </row>
    <row r="212" spans="1:11" s="62" customFormat="1" ht="28.5">
      <c r="A212" s="54"/>
      <c r="B212" s="55" t="s">
        <v>72</v>
      </c>
      <c r="C212" s="64" t="s">
        <v>73</v>
      </c>
      <c r="D212" s="57" t="s">
        <v>6</v>
      </c>
      <c r="E212" s="59">
        <v>0.18025</v>
      </c>
      <c r="F212" s="59">
        <f>TRUNC(12.54,2)</f>
        <v>12.54</v>
      </c>
      <c r="G212" s="60">
        <f>TRUNC(E212*F212,2)</f>
        <v>2.26</v>
      </c>
      <c r="H212" s="60"/>
      <c r="I212" s="61"/>
      <c r="K212" s="63"/>
    </row>
    <row r="213" spans="1:11" s="62" customFormat="1" ht="14.25">
      <c r="A213" s="54"/>
      <c r="B213" s="55" t="s">
        <v>74</v>
      </c>
      <c r="C213" s="64" t="s">
        <v>75</v>
      </c>
      <c r="D213" s="57" t="s">
        <v>6</v>
      </c>
      <c r="E213" s="59">
        <v>0.3605</v>
      </c>
      <c r="F213" s="59">
        <f>TRUNC(17.3,2)</f>
        <v>17.3</v>
      </c>
      <c r="G213" s="60">
        <f>TRUNC(E213*F213,2)</f>
        <v>6.23</v>
      </c>
      <c r="H213" s="60"/>
      <c r="I213" s="61"/>
      <c r="K213" s="63"/>
    </row>
    <row r="214" spans="1:11" s="62" customFormat="1" ht="14.25">
      <c r="A214" s="54"/>
      <c r="B214" s="55"/>
      <c r="C214" s="64"/>
      <c r="D214" s="57"/>
      <c r="E214" s="59" t="s">
        <v>7</v>
      </c>
      <c r="F214" s="59"/>
      <c r="G214" s="60">
        <f>TRUNC(SUM(G209:G213),2)</f>
        <v>12.38</v>
      </c>
      <c r="H214" s="60"/>
      <c r="I214" s="61"/>
      <c r="K214" s="63"/>
    </row>
    <row r="215" spans="1:10" s="39" customFormat="1" ht="15.75">
      <c r="A215" s="48" t="s">
        <v>52</v>
      </c>
      <c r="B215" s="50"/>
      <c r="C215" s="49"/>
      <c r="D215" s="50"/>
      <c r="E215" s="50"/>
      <c r="F215" s="50" t="s">
        <v>57</v>
      </c>
      <c r="G215" s="50"/>
      <c r="H215" s="52">
        <f>H194+H188+H181+H203+H208</f>
        <v>4426.1900000000005</v>
      </c>
      <c r="I215" s="52">
        <f>I194+I188+I181+I203+I208</f>
        <v>5740.14</v>
      </c>
      <c r="J215" s="39">
        <v>5909.18</v>
      </c>
    </row>
    <row r="216" spans="1:9" s="38" customFormat="1" ht="15.75">
      <c r="A216" s="38" t="s">
        <v>23</v>
      </c>
      <c r="B216" s="46"/>
      <c r="C216" s="47" t="s">
        <v>371</v>
      </c>
      <c r="D216" s="47"/>
      <c r="E216" s="47"/>
      <c r="F216" s="47"/>
      <c r="G216" s="47"/>
      <c r="H216" s="47"/>
      <c r="I216" s="45"/>
    </row>
    <row r="217" spans="1:10" s="96" customFormat="1" ht="28.5">
      <c r="A217" s="96" t="s">
        <v>193</v>
      </c>
      <c r="B217" s="96" t="s">
        <v>279</v>
      </c>
      <c r="C217" s="96" t="s">
        <v>280</v>
      </c>
      <c r="D217" s="96" t="s">
        <v>12</v>
      </c>
      <c r="E217" s="96">
        <v>2</v>
      </c>
      <c r="F217" s="97">
        <f>TRUNC(G219,2)</f>
        <v>598.72</v>
      </c>
      <c r="G217" s="90">
        <f>TRUNC(F217*1.2977,2)</f>
        <v>776.95</v>
      </c>
      <c r="H217" s="90">
        <f>TRUNC(F217*E217,2)</f>
        <v>1197.44</v>
      </c>
      <c r="I217" s="91">
        <f>TRUNC(E217*G217,2)</f>
        <v>1553.9</v>
      </c>
      <c r="J217" s="96">
        <v>1466.5</v>
      </c>
    </row>
    <row r="218" spans="2:9" s="64" customFormat="1" ht="14.25">
      <c r="B218" s="64" t="s">
        <v>281</v>
      </c>
      <c r="C218" s="64" t="s">
        <v>282</v>
      </c>
      <c r="D218" s="64" t="s">
        <v>12</v>
      </c>
      <c r="E218" s="64">
        <v>1</v>
      </c>
      <c r="F218" s="65">
        <f>TRUNC(598.72,2)</f>
        <v>598.72</v>
      </c>
      <c r="G218" s="60">
        <f>TRUNC(E218*F218,2)</f>
        <v>598.72</v>
      </c>
      <c r="H218" s="60"/>
      <c r="I218" s="61"/>
    </row>
    <row r="219" spans="5:9" s="64" customFormat="1" ht="14.25">
      <c r="E219" s="64" t="s">
        <v>7</v>
      </c>
      <c r="F219" s="65"/>
      <c r="G219" s="60">
        <f>TRUNC(SUM(G218:G218),2)</f>
        <v>598.72</v>
      </c>
      <c r="H219" s="60"/>
      <c r="I219" s="61"/>
    </row>
    <row r="220" spans="1:10" s="96" customFormat="1" ht="57">
      <c r="A220" s="96" t="s">
        <v>194</v>
      </c>
      <c r="B220" s="96" t="s">
        <v>283</v>
      </c>
      <c r="C220" s="96" t="s">
        <v>284</v>
      </c>
      <c r="D220" s="96" t="s">
        <v>12</v>
      </c>
      <c r="E220" s="96">
        <v>2</v>
      </c>
      <c r="F220" s="97">
        <f>TRUNC(G222,2)</f>
        <v>110.21</v>
      </c>
      <c r="G220" s="90">
        <f>TRUNC(F220*1.2977,2)</f>
        <v>143.01</v>
      </c>
      <c r="H220" s="90">
        <f>TRUNC(F220*E220,2)</f>
        <v>220.42</v>
      </c>
      <c r="I220" s="91">
        <f>TRUNC(E220*G220,2)</f>
        <v>286.02</v>
      </c>
      <c r="J220" s="96">
        <v>311.3</v>
      </c>
    </row>
    <row r="221" spans="2:9" s="64" customFormat="1" ht="28.5">
      <c r="B221" s="64" t="s">
        <v>285</v>
      </c>
      <c r="C221" s="64" t="s">
        <v>286</v>
      </c>
      <c r="D221" s="64" t="s">
        <v>6</v>
      </c>
      <c r="E221" s="64">
        <v>10.3</v>
      </c>
      <c r="F221" s="65">
        <f>TRUNC(10.7,2)</f>
        <v>10.7</v>
      </c>
      <c r="G221" s="60">
        <f>TRUNC(E221*F221,2)</f>
        <v>110.21</v>
      </c>
      <c r="H221" s="60"/>
      <c r="I221" s="61"/>
    </row>
    <row r="222" spans="5:9" s="64" customFormat="1" ht="14.25">
      <c r="E222" s="64" t="s">
        <v>7</v>
      </c>
      <c r="F222" s="65"/>
      <c r="G222" s="60">
        <f>TRUNC(SUM(G221:G221),2)</f>
        <v>110.21</v>
      </c>
      <c r="H222" s="60"/>
      <c r="I222" s="61"/>
    </row>
    <row r="223" spans="1:10" s="96" customFormat="1" ht="28.5">
      <c r="A223" s="96" t="s">
        <v>375</v>
      </c>
      <c r="B223" s="96" t="s">
        <v>287</v>
      </c>
      <c r="C223" s="96" t="s">
        <v>288</v>
      </c>
      <c r="D223" s="96" t="s">
        <v>12</v>
      </c>
      <c r="E223" s="96">
        <v>6</v>
      </c>
      <c r="F223" s="97">
        <f>TRUNC(G226,2)</f>
        <v>39.69</v>
      </c>
      <c r="G223" s="90">
        <f>TRUNC(F223*1.2977,2)</f>
        <v>51.5</v>
      </c>
      <c r="H223" s="90">
        <f>TRUNC(F223*E223,2)</f>
        <v>238.14</v>
      </c>
      <c r="I223" s="91">
        <f>TRUNC(E223*G223,2)</f>
        <v>309</v>
      </c>
      <c r="J223" s="96">
        <v>295.68</v>
      </c>
    </row>
    <row r="224" spans="2:9" s="64" customFormat="1" ht="14.25">
      <c r="B224" s="64" t="s">
        <v>289</v>
      </c>
      <c r="C224" s="64" t="s">
        <v>290</v>
      </c>
      <c r="D224" s="64" t="s">
        <v>12</v>
      </c>
      <c r="E224" s="64">
        <v>1</v>
      </c>
      <c r="F224" s="65">
        <f>TRUNC(36.13,2)</f>
        <v>36.13</v>
      </c>
      <c r="G224" s="60">
        <f>TRUNC(E224*F224,2)</f>
        <v>36.13</v>
      </c>
      <c r="H224" s="60"/>
      <c r="I224" s="61"/>
    </row>
    <row r="225" spans="2:9" s="64" customFormat="1" ht="28.5">
      <c r="B225" s="64" t="s">
        <v>83</v>
      </c>
      <c r="C225" s="64" t="s">
        <v>84</v>
      </c>
      <c r="D225" s="64" t="s">
        <v>6</v>
      </c>
      <c r="E225" s="64">
        <v>0.20600000000000002</v>
      </c>
      <c r="F225" s="65">
        <f>TRUNC(17.3,2)</f>
        <v>17.3</v>
      </c>
      <c r="G225" s="60">
        <f>TRUNC(E225*F225,2)</f>
        <v>3.56</v>
      </c>
      <c r="H225" s="60"/>
      <c r="I225" s="61"/>
    </row>
    <row r="226" spans="5:9" s="64" customFormat="1" ht="14.25">
      <c r="E226" s="64" t="s">
        <v>7</v>
      </c>
      <c r="F226" s="65"/>
      <c r="G226" s="60">
        <f>TRUNC(SUM(G224:G225),2)</f>
        <v>39.69</v>
      </c>
      <c r="H226" s="60"/>
      <c r="I226" s="61"/>
    </row>
    <row r="227" spans="1:10" s="96" customFormat="1" ht="71.25">
      <c r="A227" s="96" t="s">
        <v>376</v>
      </c>
      <c r="B227" s="96" t="s">
        <v>291</v>
      </c>
      <c r="C227" s="96" t="s">
        <v>292</v>
      </c>
      <c r="D227" s="96" t="s">
        <v>12</v>
      </c>
      <c r="E227" s="96">
        <v>6</v>
      </c>
      <c r="F227" s="97">
        <f>TRUNC(G231,2)</f>
        <v>208.87</v>
      </c>
      <c r="G227" s="90">
        <f>TRUNC(F227*1.2977,2)</f>
        <v>271.05</v>
      </c>
      <c r="H227" s="90">
        <f>TRUNC(F227*E227,2)</f>
        <v>1253.22</v>
      </c>
      <c r="I227" s="91">
        <f>TRUNC(E227*G227,2)</f>
        <v>1626.3</v>
      </c>
      <c r="J227" s="96">
        <v>1604.4</v>
      </c>
    </row>
    <row r="228" spans="2:9" s="64" customFormat="1" ht="28.5">
      <c r="B228" s="64" t="s">
        <v>293</v>
      </c>
      <c r="C228" s="64" t="s">
        <v>294</v>
      </c>
      <c r="D228" s="64" t="s">
        <v>12</v>
      </c>
      <c r="E228" s="64">
        <v>1</v>
      </c>
      <c r="F228" s="65">
        <f>TRUNC(147.41,2)</f>
        <v>147.41</v>
      </c>
      <c r="G228" s="60">
        <f>TRUNC(E228*F228,2)</f>
        <v>147.41</v>
      </c>
      <c r="H228" s="60"/>
      <c r="I228" s="61"/>
    </row>
    <row r="229" spans="2:9" s="64" customFormat="1" ht="28.5">
      <c r="B229" s="64" t="s">
        <v>72</v>
      </c>
      <c r="C229" s="64" t="s">
        <v>73</v>
      </c>
      <c r="D229" s="64" t="s">
        <v>6</v>
      </c>
      <c r="E229" s="64">
        <v>2.06</v>
      </c>
      <c r="F229" s="65">
        <f>TRUNC(12.54,2)</f>
        <v>12.54</v>
      </c>
      <c r="G229" s="60">
        <f>TRUNC(E229*F229,2)</f>
        <v>25.83</v>
      </c>
      <c r="H229" s="60"/>
      <c r="I229" s="61"/>
    </row>
    <row r="230" spans="2:9" s="64" customFormat="1" ht="28.5">
      <c r="B230" s="64" t="s">
        <v>83</v>
      </c>
      <c r="C230" s="64" t="s">
        <v>84</v>
      </c>
      <c r="D230" s="64" t="s">
        <v>6</v>
      </c>
      <c r="E230" s="64">
        <v>2.06</v>
      </c>
      <c r="F230" s="65">
        <f>TRUNC(17.3,2)</f>
        <v>17.3</v>
      </c>
      <c r="G230" s="60">
        <f>TRUNC(E230*F230,2)</f>
        <v>35.63</v>
      </c>
      <c r="H230" s="60"/>
      <c r="I230" s="61"/>
    </row>
    <row r="231" spans="5:9" s="64" customFormat="1" ht="14.25">
      <c r="E231" s="64" t="s">
        <v>7</v>
      </c>
      <c r="F231" s="65"/>
      <c r="G231" s="60">
        <f>TRUNC(SUM(G228:G230),2)</f>
        <v>208.87</v>
      </c>
      <c r="H231" s="60"/>
      <c r="I231" s="61"/>
    </row>
    <row r="232" spans="1:10" s="96" customFormat="1" ht="42.75">
      <c r="A232" s="96" t="s">
        <v>377</v>
      </c>
      <c r="B232" s="96" t="s">
        <v>295</v>
      </c>
      <c r="C232" s="96" t="s">
        <v>296</v>
      </c>
      <c r="D232" s="96" t="s">
        <v>12</v>
      </c>
      <c r="E232" s="96">
        <v>2</v>
      </c>
      <c r="F232" s="97">
        <f>TRUNC(G236,2)</f>
        <v>34.8</v>
      </c>
      <c r="G232" s="90">
        <f>TRUNC(F232*1.2977,2)</f>
        <v>45.15</v>
      </c>
      <c r="H232" s="90">
        <f>TRUNC(F232*E232,2)</f>
        <v>69.6</v>
      </c>
      <c r="I232" s="91">
        <f>TRUNC(E232*G232,2)</f>
        <v>90.3</v>
      </c>
      <c r="J232" s="96">
        <v>89.28</v>
      </c>
    </row>
    <row r="233" spans="2:9" s="64" customFormat="1" ht="14.25">
      <c r="B233" s="64" t="s">
        <v>297</v>
      </c>
      <c r="C233" s="64" t="s">
        <v>298</v>
      </c>
      <c r="D233" s="64" t="s">
        <v>12</v>
      </c>
      <c r="E233" s="64">
        <v>1</v>
      </c>
      <c r="F233" s="65">
        <f>TRUNC(24.05,2)</f>
        <v>24.05</v>
      </c>
      <c r="G233" s="60">
        <f>TRUNC(E233*F233,2)</f>
        <v>24.05</v>
      </c>
      <c r="H233" s="60"/>
      <c r="I233" s="61"/>
    </row>
    <row r="234" spans="2:9" s="64" customFormat="1" ht="28.5">
      <c r="B234" s="64" t="s">
        <v>72</v>
      </c>
      <c r="C234" s="64" t="s">
        <v>73</v>
      </c>
      <c r="D234" s="64" t="s">
        <v>6</v>
      </c>
      <c r="E234" s="64">
        <v>0.3605</v>
      </c>
      <c r="F234" s="65">
        <f>TRUNC(12.54,2)</f>
        <v>12.54</v>
      </c>
      <c r="G234" s="60">
        <f>TRUNC(E234*F234,2)</f>
        <v>4.52</v>
      </c>
      <c r="H234" s="60"/>
      <c r="I234" s="61"/>
    </row>
    <row r="235" spans="2:9" s="64" customFormat="1" ht="28.5">
      <c r="B235" s="64" t="s">
        <v>83</v>
      </c>
      <c r="C235" s="64" t="s">
        <v>84</v>
      </c>
      <c r="D235" s="64" t="s">
        <v>6</v>
      </c>
      <c r="E235" s="64">
        <v>0.3605</v>
      </c>
      <c r="F235" s="65">
        <f>TRUNC(17.3,2)</f>
        <v>17.3</v>
      </c>
      <c r="G235" s="60">
        <f>TRUNC(E235*F235,2)</f>
        <v>6.23</v>
      </c>
      <c r="H235" s="60"/>
      <c r="I235" s="61"/>
    </row>
    <row r="236" spans="5:9" s="64" customFormat="1" ht="14.25">
      <c r="E236" s="64" t="s">
        <v>7</v>
      </c>
      <c r="F236" s="65"/>
      <c r="G236" s="60">
        <f>TRUNC(SUM(G233:G235),2)</f>
        <v>34.8</v>
      </c>
      <c r="H236" s="60"/>
      <c r="I236" s="61"/>
    </row>
    <row r="237" spans="1:10" s="96" customFormat="1" ht="57">
      <c r="A237" s="96" t="s">
        <v>378</v>
      </c>
      <c r="B237" s="96" t="s">
        <v>335</v>
      </c>
      <c r="C237" s="96" t="s">
        <v>336</v>
      </c>
      <c r="D237" s="96" t="s">
        <v>12</v>
      </c>
      <c r="E237" s="96">
        <v>1</v>
      </c>
      <c r="F237" s="97">
        <f>TRUNC(G241,2)</f>
        <v>72.02</v>
      </c>
      <c r="G237" s="90">
        <f>TRUNC(F237*1.2977,2)</f>
        <v>93.46</v>
      </c>
      <c r="H237" s="90">
        <f>TRUNC(F237*E237,2)</f>
        <v>72.02</v>
      </c>
      <c r="I237" s="91">
        <f>TRUNC(E237*G237,2)</f>
        <v>93.46</v>
      </c>
      <c r="J237" s="96">
        <v>98.64</v>
      </c>
    </row>
    <row r="238" spans="2:9" s="64" customFormat="1" ht="28.5">
      <c r="B238" s="64" t="s">
        <v>337</v>
      </c>
      <c r="C238" s="64" t="s">
        <v>338</v>
      </c>
      <c r="D238" s="64" t="s">
        <v>12</v>
      </c>
      <c r="E238" s="64">
        <v>1</v>
      </c>
      <c r="F238" s="65">
        <f>TRUNC(16.71,2)</f>
        <v>16.71</v>
      </c>
      <c r="G238" s="60">
        <f>TRUNC(E238*F238,2)</f>
        <v>16.71</v>
      </c>
      <c r="H238" s="60"/>
      <c r="I238" s="61"/>
    </row>
    <row r="239" spans="2:9" s="64" customFormat="1" ht="28.5">
      <c r="B239" s="64" t="s">
        <v>72</v>
      </c>
      <c r="C239" s="64" t="s">
        <v>73</v>
      </c>
      <c r="D239" s="64" t="s">
        <v>6</v>
      </c>
      <c r="E239" s="64">
        <v>1.854</v>
      </c>
      <c r="F239" s="65">
        <f>TRUNC(12.54,2)</f>
        <v>12.54</v>
      </c>
      <c r="G239" s="60">
        <f>TRUNC(E239*F239,2)</f>
        <v>23.24</v>
      </c>
      <c r="H239" s="60"/>
      <c r="I239" s="61"/>
    </row>
    <row r="240" spans="2:9" s="64" customFormat="1" ht="28.5">
      <c r="B240" s="64" t="s">
        <v>83</v>
      </c>
      <c r="C240" s="64" t="s">
        <v>84</v>
      </c>
      <c r="D240" s="64" t="s">
        <v>6</v>
      </c>
      <c r="E240" s="64">
        <v>1.854</v>
      </c>
      <c r="F240" s="65">
        <f>TRUNC(17.3,2)</f>
        <v>17.3</v>
      </c>
      <c r="G240" s="60">
        <f>TRUNC(E240*F240,2)</f>
        <v>32.07</v>
      </c>
      <c r="H240" s="60"/>
      <c r="I240" s="61"/>
    </row>
    <row r="241" spans="5:9" s="64" customFormat="1" ht="14.25">
      <c r="E241" s="64" t="s">
        <v>7</v>
      </c>
      <c r="F241" s="65"/>
      <c r="G241" s="60">
        <f>TRUNC(SUM(G238:G240),2)</f>
        <v>72.02</v>
      </c>
      <c r="H241" s="60"/>
      <c r="I241" s="61"/>
    </row>
    <row r="242" spans="1:10" s="96" customFormat="1" ht="57">
      <c r="A242" s="96" t="s">
        <v>379</v>
      </c>
      <c r="B242" s="96" t="s">
        <v>300</v>
      </c>
      <c r="C242" s="96" t="s">
        <v>299</v>
      </c>
      <c r="D242" s="96" t="s">
        <v>3</v>
      </c>
      <c r="E242" s="96">
        <v>121.53</v>
      </c>
      <c r="F242" s="97">
        <f>TRUNC(G247,2)</f>
        <v>3.33</v>
      </c>
      <c r="G242" s="90">
        <f>TRUNC(F242*1.2977,2)</f>
        <v>4.32</v>
      </c>
      <c r="H242" s="90">
        <f>TRUNC(F242*E242,2)</f>
        <v>404.69</v>
      </c>
      <c r="I242" s="91">
        <f>TRUNC(E242*G242,2)</f>
        <v>525</v>
      </c>
      <c r="J242" s="96">
        <v>556.09</v>
      </c>
    </row>
    <row r="243" spans="2:9" s="64" customFormat="1" ht="14.25">
      <c r="B243" s="64" t="s">
        <v>159</v>
      </c>
      <c r="C243" s="64" t="s">
        <v>160</v>
      </c>
      <c r="D243" s="64" t="s">
        <v>12</v>
      </c>
      <c r="E243" s="64">
        <v>0.0014</v>
      </c>
      <c r="F243" s="65">
        <f>TRUNC(8.56,2)</f>
        <v>8.56</v>
      </c>
      <c r="G243" s="60">
        <f>TRUNC(E243*F243,2)</f>
        <v>0.01</v>
      </c>
      <c r="H243" s="60"/>
      <c r="I243" s="61"/>
    </row>
    <row r="244" spans="2:9" s="64" customFormat="1" ht="14.25">
      <c r="B244" s="64" t="s">
        <v>301</v>
      </c>
      <c r="C244" s="64" t="s">
        <v>302</v>
      </c>
      <c r="D244" s="64" t="s">
        <v>3</v>
      </c>
      <c r="E244" s="64">
        <v>1</v>
      </c>
      <c r="F244" s="65">
        <f>TRUNC(1.463,2)</f>
        <v>1.46</v>
      </c>
      <c r="G244" s="60">
        <f>TRUNC(E244*F244,2)</f>
        <v>1.46</v>
      </c>
      <c r="H244" s="60"/>
      <c r="I244" s="61"/>
    </row>
    <row r="245" spans="2:9" s="64" customFormat="1" ht="28.5">
      <c r="B245" s="64" t="s">
        <v>72</v>
      </c>
      <c r="C245" s="64" t="s">
        <v>73</v>
      </c>
      <c r="D245" s="64" t="s">
        <v>6</v>
      </c>
      <c r="E245" s="64">
        <v>0.06283</v>
      </c>
      <c r="F245" s="65">
        <f>TRUNC(12.54,2)</f>
        <v>12.54</v>
      </c>
      <c r="G245" s="60">
        <f>TRUNC(E245*F245,2)</f>
        <v>0.78</v>
      </c>
      <c r="H245" s="60"/>
      <c r="I245" s="61"/>
    </row>
    <row r="246" spans="2:9" s="64" customFormat="1" ht="28.5">
      <c r="B246" s="64" t="s">
        <v>83</v>
      </c>
      <c r="C246" s="64" t="s">
        <v>84</v>
      </c>
      <c r="D246" s="64" t="s">
        <v>6</v>
      </c>
      <c r="E246" s="64">
        <v>0.06283</v>
      </c>
      <c r="F246" s="65">
        <f>TRUNC(17.3,2)</f>
        <v>17.3</v>
      </c>
      <c r="G246" s="60">
        <f>TRUNC(E246*F246,2)</f>
        <v>1.08</v>
      </c>
      <c r="H246" s="60"/>
      <c r="I246" s="61"/>
    </row>
    <row r="247" spans="5:9" s="64" customFormat="1" ht="14.25">
      <c r="E247" s="64" t="s">
        <v>7</v>
      </c>
      <c r="F247" s="65"/>
      <c r="G247" s="60">
        <f>TRUNC(SUM(G243:G246),2)</f>
        <v>3.33</v>
      </c>
      <c r="H247" s="60"/>
      <c r="I247" s="61"/>
    </row>
    <row r="248" spans="1:10" s="96" customFormat="1" ht="57">
      <c r="A248" s="96" t="s">
        <v>380</v>
      </c>
      <c r="B248" s="96" t="s">
        <v>303</v>
      </c>
      <c r="C248" s="96" t="s">
        <v>304</v>
      </c>
      <c r="D248" s="96" t="s">
        <v>12</v>
      </c>
      <c r="E248" s="96">
        <v>1</v>
      </c>
      <c r="F248" s="97">
        <f>TRUNC(G266,2)</f>
        <v>820.1</v>
      </c>
      <c r="G248" s="90">
        <f>TRUNC(F248*1.2977,2)</f>
        <v>1064.24</v>
      </c>
      <c r="H248" s="90">
        <f>TRUNC(F248*E248,2)</f>
        <v>820.1</v>
      </c>
      <c r="I248" s="91">
        <f>TRUNC(E248*G248,2)</f>
        <v>1064.24</v>
      </c>
      <c r="J248" s="96">
        <v>1113.12</v>
      </c>
    </row>
    <row r="249" spans="2:9" s="64" customFormat="1" ht="14.25">
      <c r="B249" s="64" t="s">
        <v>305</v>
      </c>
      <c r="C249" s="64" t="s">
        <v>306</v>
      </c>
      <c r="D249" s="64" t="s">
        <v>12</v>
      </c>
      <c r="E249" s="64">
        <v>1</v>
      </c>
      <c r="F249" s="65">
        <f>TRUNC(21.21,2)</f>
        <v>21.21</v>
      </c>
      <c r="G249" s="60">
        <f aca="true" t="shared" si="8" ref="G249:G265">TRUNC(E249*F249,2)</f>
        <v>21.21</v>
      </c>
      <c r="H249" s="60"/>
      <c r="I249" s="61"/>
    </row>
    <row r="250" spans="2:9" s="64" customFormat="1" ht="14.25">
      <c r="B250" s="64" t="s">
        <v>307</v>
      </c>
      <c r="C250" s="64" t="s">
        <v>308</v>
      </c>
      <c r="D250" s="64" t="s">
        <v>12</v>
      </c>
      <c r="E250" s="64">
        <v>1</v>
      </c>
      <c r="F250" s="65">
        <f>TRUNC(5.6,2)</f>
        <v>5.6</v>
      </c>
      <c r="G250" s="60">
        <f t="shared" si="8"/>
        <v>5.6</v>
      </c>
      <c r="H250" s="60"/>
      <c r="I250" s="61"/>
    </row>
    <row r="251" spans="2:9" s="64" customFormat="1" ht="28.5">
      <c r="B251" s="64" t="s">
        <v>309</v>
      </c>
      <c r="C251" s="64" t="s">
        <v>310</v>
      </c>
      <c r="D251" s="64" t="s">
        <v>5</v>
      </c>
      <c r="E251" s="64">
        <v>0.15</v>
      </c>
      <c r="F251" s="65">
        <f>TRUNC(40.7168,2)</f>
        <v>40.71</v>
      </c>
      <c r="G251" s="60">
        <f t="shared" si="8"/>
        <v>6.1</v>
      </c>
      <c r="H251" s="60"/>
      <c r="I251" s="61"/>
    </row>
    <row r="252" spans="2:9" s="64" customFormat="1" ht="28.5">
      <c r="B252" s="64" t="s">
        <v>311</v>
      </c>
      <c r="C252" s="64" t="s">
        <v>312</v>
      </c>
      <c r="D252" s="64" t="s">
        <v>12</v>
      </c>
      <c r="E252" s="64">
        <v>2</v>
      </c>
      <c r="F252" s="65">
        <f>TRUNC(4.14,2)</f>
        <v>4.14</v>
      </c>
      <c r="G252" s="60">
        <f t="shared" si="8"/>
        <v>8.28</v>
      </c>
      <c r="H252" s="60"/>
      <c r="I252" s="61"/>
    </row>
    <row r="253" spans="2:9" s="64" customFormat="1" ht="14.25">
      <c r="B253" s="64" t="s">
        <v>313</v>
      </c>
      <c r="C253" s="64" t="s">
        <v>314</v>
      </c>
      <c r="D253" s="64" t="s">
        <v>12</v>
      </c>
      <c r="E253" s="64">
        <v>2</v>
      </c>
      <c r="F253" s="65">
        <f>TRUNC(0.41,2)</f>
        <v>0.41</v>
      </c>
      <c r="G253" s="60">
        <f t="shared" si="8"/>
        <v>0.82</v>
      </c>
      <c r="H253" s="60"/>
      <c r="I253" s="61"/>
    </row>
    <row r="254" spans="2:9" s="64" customFormat="1" ht="14.25">
      <c r="B254" s="64" t="s">
        <v>315</v>
      </c>
      <c r="C254" s="64" t="s">
        <v>316</v>
      </c>
      <c r="D254" s="64" t="s">
        <v>12</v>
      </c>
      <c r="E254" s="64">
        <v>2</v>
      </c>
      <c r="F254" s="65">
        <f>TRUNC(0.72,2)</f>
        <v>0.72</v>
      </c>
      <c r="G254" s="60">
        <f t="shared" si="8"/>
        <v>1.44</v>
      </c>
      <c r="H254" s="60"/>
      <c r="I254" s="61"/>
    </row>
    <row r="255" spans="2:9" s="64" customFormat="1" ht="14.25">
      <c r="B255" s="64" t="s">
        <v>317</v>
      </c>
      <c r="C255" s="64" t="s">
        <v>318</v>
      </c>
      <c r="D255" s="64" t="s">
        <v>12</v>
      </c>
      <c r="E255" s="64">
        <v>1</v>
      </c>
      <c r="F255" s="65">
        <f>TRUNC(21.02,2)</f>
        <v>21.02</v>
      </c>
      <c r="G255" s="60">
        <f t="shared" si="8"/>
        <v>21.02</v>
      </c>
      <c r="H255" s="60"/>
      <c r="I255" s="61"/>
    </row>
    <row r="256" spans="2:9" s="64" customFormat="1" ht="14.25">
      <c r="B256" s="64" t="s">
        <v>319</v>
      </c>
      <c r="C256" s="64" t="s">
        <v>320</v>
      </c>
      <c r="D256" s="64" t="s">
        <v>12</v>
      </c>
      <c r="E256" s="64">
        <v>2</v>
      </c>
      <c r="F256" s="65">
        <f>TRUNC(0.71,2)</f>
        <v>0.71</v>
      </c>
      <c r="G256" s="60">
        <f t="shared" si="8"/>
        <v>1.42</v>
      </c>
      <c r="H256" s="60"/>
      <c r="I256" s="61"/>
    </row>
    <row r="257" spans="2:9" s="64" customFormat="1" ht="14.25">
      <c r="B257" s="64" t="s">
        <v>321</v>
      </c>
      <c r="C257" s="64" t="s">
        <v>322</v>
      </c>
      <c r="D257" s="64" t="s">
        <v>12</v>
      </c>
      <c r="E257" s="64">
        <v>3</v>
      </c>
      <c r="F257" s="65">
        <f>TRUNC(3.53,2)</f>
        <v>3.53</v>
      </c>
      <c r="G257" s="60">
        <f t="shared" si="8"/>
        <v>10.59</v>
      </c>
      <c r="H257" s="60"/>
      <c r="I257" s="61"/>
    </row>
    <row r="258" spans="2:9" s="64" customFormat="1" ht="28.5">
      <c r="B258" s="64" t="s">
        <v>323</v>
      </c>
      <c r="C258" s="64" t="s">
        <v>324</v>
      </c>
      <c r="D258" s="64" t="s">
        <v>12</v>
      </c>
      <c r="E258" s="64">
        <v>1</v>
      </c>
      <c r="F258" s="65">
        <f>TRUNC(3.25,2)</f>
        <v>3.25</v>
      </c>
      <c r="G258" s="60">
        <f t="shared" si="8"/>
        <v>3.25</v>
      </c>
      <c r="H258" s="60"/>
      <c r="I258" s="61"/>
    </row>
    <row r="259" spans="2:9" s="64" customFormat="1" ht="28.5">
      <c r="B259" s="64" t="s">
        <v>325</v>
      </c>
      <c r="C259" s="64" t="s">
        <v>326</v>
      </c>
      <c r="D259" s="64" t="s">
        <v>12</v>
      </c>
      <c r="E259" s="64">
        <v>1</v>
      </c>
      <c r="F259" s="65">
        <f>TRUNC(51.4,2)</f>
        <v>51.4</v>
      </c>
      <c r="G259" s="60">
        <f t="shared" si="8"/>
        <v>51.4</v>
      </c>
      <c r="H259" s="60"/>
      <c r="I259" s="61"/>
    </row>
    <row r="260" spans="2:9" s="64" customFormat="1" ht="28.5">
      <c r="B260" s="64" t="s">
        <v>327</v>
      </c>
      <c r="C260" s="64" t="s">
        <v>328</v>
      </c>
      <c r="D260" s="64" t="s">
        <v>12</v>
      </c>
      <c r="E260" s="64">
        <v>1</v>
      </c>
      <c r="F260" s="65">
        <f>TRUNC(23.81,2)</f>
        <v>23.81</v>
      </c>
      <c r="G260" s="60">
        <f t="shared" si="8"/>
        <v>23.81</v>
      </c>
      <c r="H260" s="60"/>
      <c r="I260" s="61"/>
    </row>
    <row r="261" spans="2:9" s="64" customFormat="1" ht="14.25">
      <c r="B261" s="64" t="s">
        <v>329</v>
      </c>
      <c r="C261" s="64" t="s">
        <v>330</v>
      </c>
      <c r="D261" s="64" t="s">
        <v>12</v>
      </c>
      <c r="E261" s="64">
        <v>1</v>
      </c>
      <c r="F261" s="65">
        <f>TRUNC(33.5,2)</f>
        <v>33.5</v>
      </c>
      <c r="G261" s="60">
        <f t="shared" si="8"/>
        <v>33.5</v>
      </c>
      <c r="H261" s="60"/>
      <c r="I261" s="61"/>
    </row>
    <row r="262" spans="2:9" s="64" customFormat="1" ht="28.5">
      <c r="B262" s="64" t="s">
        <v>83</v>
      </c>
      <c r="C262" s="64" t="s">
        <v>84</v>
      </c>
      <c r="D262" s="64" t="s">
        <v>6</v>
      </c>
      <c r="E262" s="64">
        <v>17.51</v>
      </c>
      <c r="F262" s="65">
        <f>TRUNC(17.3,2)</f>
        <v>17.3</v>
      </c>
      <c r="G262" s="60">
        <f t="shared" si="8"/>
        <v>302.92</v>
      </c>
      <c r="H262" s="60"/>
      <c r="I262" s="61"/>
    </row>
    <row r="263" spans="2:9" s="64" customFormat="1" ht="28.5">
      <c r="B263" s="64" t="s">
        <v>72</v>
      </c>
      <c r="C263" s="64" t="s">
        <v>73</v>
      </c>
      <c r="D263" s="64" t="s">
        <v>6</v>
      </c>
      <c r="E263" s="64">
        <v>17.51</v>
      </c>
      <c r="F263" s="65">
        <f>TRUNC(12.54,2)</f>
        <v>12.54</v>
      </c>
      <c r="G263" s="60">
        <f t="shared" si="8"/>
        <v>219.57</v>
      </c>
      <c r="H263" s="60"/>
      <c r="I263" s="61"/>
    </row>
    <row r="264" spans="2:9" s="64" customFormat="1" ht="14.25">
      <c r="B264" s="64" t="s">
        <v>331</v>
      </c>
      <c r="C264" s="64" t="s">
        <v>332</v>
      </c>
      <c r="D264" s="64" t="s">
        <v>0</v>
      </c>
      <c r="E264" s="64">
        <v>1.7</v>
      </c>
      <c r="F264" s="65">
        <f>TRUNC(43.7973,2)</f>
        <v>43.79</v>
      </c>
      <c r="G264" s="60">
        <f t="shared" si="8"/>
        <v>74.44</v>
      </c>
      <c r="H264" s="60"/>
      <c r="I264" s="61"/>
    </row>
    <row r="265" spans="2:9" s="64" customFormat="1" ht="14.25">
      <c r="B265" s="64" t="s">
        <v>333</v>
      </c>
      <c r="C265" s="64" t="s">
        <v>334</v>
      </c>
      <c r="D265" s="64" t="s">
        <v>1</v>
      </c>
      <c r="E265" s="64">
        <v>0.13</v>
      </c>
      <c r="F265" s="65">
        <f>TRUNC(267.2254,2)</f>
        <v>267.22</v>
      </c>
      <c r="G265" s="60">
        <f t="shared" si="8"/>
        <v>34.73</v>
      </c>
      <c r="H265" s="60"/>
      <c r="I265" s="61"/>
    </row>
    <row r="266" spans="5:9" s="64" customFormat="1" ht="14.25">
      <c r="E266" s="64" t="s">
        <v>7</v>
      </c>
      <c r="F266" s="65"/>
      <c r="G266" s="60">
        <f>TRUNC(SUM(G249:G265),2)</f>
        <v>820.1</v>
      </c>
      <c r="H266" s="60"/>
      <c r="I266" s="61"/>
    </row>
    <row r="267" spans="1:10" s="96" customFormat="1" ht="28.5">
      <c r="A267" s="96" t="s">
        <v>381</v>
      </c>
      <c r="B267" s="96" t="s">
        <v>344</v>
      </c>
      <c r="C267" s="96" t="s">
        <v>345</v>
      </c>
      <c r="D267" s="96" t="s">
        <v>12</v>
      </c>
      <c r="E267" s="96">
        <v>1</v>
      </c>
      <c r="F267" s="97">
        <f>TRUNC(G272,2)</f>
        <v>134.96</v>
      </c>
      <c r="G267" s="90">
        <f>TRUNC(F267*1.2977,2)</f>
        <v>175.13</v>
      </c>
      <c r="H267" s="90">
        <f>TRUNC(F267*E267,2)</f>
        <v>134.96</v>
      </c>
      <c r="I267" s="91">
        <f>TRUNC(E267*G267,2)</f>
        <v>175.13</v>
      </c>
      <c r="J267" s="96">
        <v>180.75</v>
      </c>
    </row>
    <row r="268" spans="2:9" s="64" customFormat="1" ht="14.25">
      <c r="B268" s="64" t="s">
        <v>346</v>
      </c>
      <c r="C268" s="64" t="s">
        <v>347</v>
      </c>
      <c r="D268" s="64" t="s">
        <v>12</v>
      </c>
      <c r="E268" s="64">
        <v>1</v>
      </c>
      <c r="F268" s="65">
        <f>TRUNC(29.93,2)</f>
        <v>29.93</v>
      </c>
      <c r="G268" s="60">
        <f>TRUNC(E268*F268,2)</f>
        <v>29.93</v>
      </c>
      <c r="H268" s="60"/>
      <c r="I268" s="61"/>
    </row>
    <row r="269" spans="2:9" s="64" customFormat="1" ht="28.5">
      <c r="B269" s="64" t="s">
        <v>72</v>
      </c>
      <c r="C269" s="64" t="s">
        <v>73</v>
      </c>
      <c r="D269" s="64" t="s">
        <v>6</v>
      </c>
      <c r="E269" s="64">
        <v>2.06</v>
      </c>
      <c r="F269" s="65">
        <f>TRUNC(12.54,2)</f>
        <v>12.54</v>
      </c>
      <c r="G269" s="60">
        <f>TRUNC(E269*F269,2)</f>
        <v>25.83</v>
      </c>
      <c r="H269" s="60"/>
      <c r="I269" s="61"/>
    </row>
    <row r="270" spans="2:9" s="64" customFormat="1" ht="28.5">
      <c r="B270" s="64" t="s">
        <v>83</v>
      </c>
      <c r="C270" s="64" t="s">
        <v>84</v>
      </c>
      <c r="D270" s="64" t="s">
        <v>6</v>
      </c>
      <c r="E270" s="64">
        <v>2.06</v>
      </c>
      <c r="F270" s="65">
        <f>TRUNC(17.3,2)</f>
        <v>17.3</v>
      </c>
      <c r="G270" s="60">
        <f>TRUNC(E270*F270,2)</f>
        <v>35.63</v>
      </c>
      <c r="H270" s="60"/>
      <c r="I270" s="61"/>
    </row>
    <row r="271" spans="2:9" s="64" customFormat="1" ht="14.25">
      <c r="B271" s="64" t="s">
        <v>348</v>
      </c>
      <c r="C271" s="64" t="s">
        <v>349</v>
      </c>
      <c r="D271" s="64" t="s">
        <v>1</v>
      </c>
      <c r="E271" s="64">
        <v>0.024</v>
      </c>
      <c r="F271" s="65">
        <f>TRUNC(1815.4435,2)</f>
        <v>1815.44</v>
      </c>
      <c r="G271" s="60">
        <f>TRUNC(E271*F271,2)</f>
        <v>43.57</v>
      </c>
      <c r="H271" s="60"/>
      <c r="I271" s="61"/>
    </row>
    <row r="272" spans="5:9" s="64" customFormat="1" ht="14.25">
      <c r="E272" s="64" t="s">
        <v>7</v>
      </c>
      <c r="F272" s="65"/>
      <c r="G272" s="60">
        <f>TRUNC(SUM(G268:G271),2)</f>
        <v>134.96</v>
      </c>
      <c r="H272" s="60"/>
      <c r="I272" s="61"/>
    </row>
    <row r="273" spans="1:10" s="96" customFormat="1" ht="28.5">
      <c r="A273" s="96" t="s">
        <v>382</v>
      </c>
      <c r="B273" s="96" t="s">
        <v>350</v>
      </c>
      <c r="C273" s="96" t="s">
        <v>351</v>
      </c>
      <c r="D273" s="96" t="s">
        <v>12</v>
      </c>
      <c r="E273" s="96">
        <v>2</v>
      </c>
      <c r="F273" s="97">
        <f>TRUNC(G277,2)</f>
        <v>90.75</v>
      </c>
      <c r="G273" s="90">
        <f>TRUNC(F273*1.2977,2)</f>
        <v>117.76</v>
      </c>
      <c r="H273" s="90">
        <f>TRUNC(F273*E273,2)</f>
        <v>181.5</v>
      </c>
      <c r="I273" s="91">
        <f>TRUNC(E273*G273,2)</f>
        <v>235.52</v>
      </c>
      <c r="J273" s="96">
        <v>226.98</v>
      </c>
    </row>
    <row r="274" spans="2:9" s="64" customFormat="1" ht="14.25">
      <c r="B274" s="64" t="s">
        <v>352</v>
      </c>
      <c r="C274" s="64" t="s">
        <v>353</v>
      </c>
      <c r="D274" s="64" t="s">
        <v>12</v>
      </c>
      <c r="E274" s="64">
        <v>1</v>
      </c>
      <c r="F274" s="65">
        <f>TRUNC(73.5,2)</f>
        <v>73.5</v>
      </c>
      <c r="G274" s="60">
        <f>TRUNC(E274*F274,2)</f>
        <v>73.5</v>
      </c>
      <c r="H274" s="60"/>
      <c r="I274" s="61"/>
    </row>
    <row r="275" spans="2:9" s="64" customFormat="1" ht="14.25">
      <c r="B275" s="64" t="s">
        <v>342</v>
      </c>
      <c r="C275" s="64" t="s">
        <v>340</v>
      </c>
      <c r="D275" s="64" t="s">
        <v>6</v>
      </c>
      <c r="E275" s="64">
        <v>0.4</v>
      </c>
      <c r="F275" s="65">
        <f>TRUNC(24.17,2)</f>
        <v>24.17</v>
      </c>
      <c r="G275" s="60">
        <f>TRUNC(E275*F275,2)</f>
        <v>9.66</v>
      </c>
      <c r="H275" s="60"/>
      <c r="I275" s="61"/>
    </row>
    <row r="276" spans="2:9" s="64" customFormat="1" ht="14.25">
      <c r="B276" s="64" t="s">
        <v>343</v>
      </c>
      <c r="C276" s="64" t="s">
        <v>341</v>
      </c>
      <c r="D276" s="64" t="s">
        <v>6</v>
      </c>
      <c r="E276" s="64">
        <v>0.4</v>
      </c>
      <c r="F276" s="65">
        <f>TRUNC(18.98,2)</f>
        <v>18.98</v>
      </c>
      <c r="G276" s="60">
        <f>TRUNC(E276*F276,2)</f>
        <v>7.59</v>
      </c>
      <c r="H276" s="60"/>
      <c r="I276" s="61"/>
    </row>
    <row r="277" spans="5:9" s="64" customFormat="1" ht="14.25">
      <c r="E277" s="64" t="s">
        <v>7</v>
      </c>
      <c r="F277" s="65"/>
      <c r="G277" s="60">
        <f>TRUNC(SUM(G274:G276),2)</f>
        <v>90.75</v>
      </c>
      <c r="H277" s="60"/>
      <c r="I277" s="61"/>
    </row>
    <row r="278" spans="1:10" s="96" customFormat="1" ht="28.5">
      <c r="A278" s="96" t="s">
        <v>383</v>
      </c>
      <c r="B278" s="96" t="s">
        <v>354</v>
      </c>
      <c r="C278" s="96" t="s">
        <v>355</v>
      </c>
      <c r="D278" s="96" t="s">
        <v>3</v>
      </c>
      <c r="E278" s="96">
        <v>38.65</v>
      </c>
      <c r="F278" s="97">
        <f>TRUNC(G283,2)</f>
        <v>7.73</v>
      </c>
      <c r="G278" s="90">
        <f>TRUNC(F278*1.2977,2)</f>
        <v>10.03</v>
      </c>
      <c r="H278" s="90">
        <f>TRUNC(F278*E278,2)</f>
        <v>298.76</v>
      </c>
      <c r="I278" s="91">
        <f>TRUNC(E278*G278,2)</f>
        <v>387.65</v>
      </c>
      <c r="J278" s="96">
        <v>342.24</v>
      </c>
    </row>
    <row r="279" spans="2:9" s="64" customFormat="1" ht="14.25">
      <c r="B279" s="64" t="s">
        <v>356</v>
      </c>
      <c r="C279" s="64" t="s">
        <v>339</v>
      </c>
      <c r="D279" s="64" t="s">
        <v>5</v>
      </c>
      <c r="E279" s="64">
        <v>0.0018</v>
      </c>
      <c r="F279" s="65">
        <f>TRUNC(13.35,2)</f>
        <v>13.35</v>
      </c>
      <c r="G279" s="60">
        <f>TRUNC(E279*F279,2)</f>
        <v>0.02</v>
      </c>
      <c r="H279" s="60"/>
      <c r="I279" s="61"/>
    </row>
    <row r="280" spans="2:9" s="64" customFormat="1" ht="14.25">
      <c r="B280" s="64" t="s">
        <v>357</v>
      </c>
      <c r="C280" s="64" t="s">
        <v>358</v>
      </c>
      <c r="D280" s="64" t="s">
        <v>3</v>
      </c>
      <c r="E280" s="64">
        <v>1.017</v>
      </c>
      <c r="F280" s="65">
        <f>TRUNC(3.27,2)</f>
        <v>3.27</v>
      </c>
      <c r="G280" s="60">
        <f>TRUNC(E280*F280,2)</f>
        <v>3.32</v>
      </c>
      <c r="H280" s="60"/>
      <c r="I280" s="61"/>
    </row>
    <row r="281" spans="2:9" s="64" customFormat="1" ht="14.25">
      <c r="B281" s="64" t="s">
        <v>342</v>
      </c>
      <c r="C281" s="64" t="s">
        <v>340</v>
      </c>
      <c r="D281" s="64" t="s">
        <v>6</v>
      </c>
      <c r="E281" s="64">
        <v>0.102</v>
      </c>
      <c r="F281" s="65">
        <f>TRUNC(24.17,2)</f>
        <v>24.17</v>
      </c>
      <c r="G281" s="60">
        <f>TRUNC(E281*F281,2)</f>
        <v>2.46</v>
      </c>
      <c r="H281" s="60"/>
      <c r="I281" s="61"/>
    </row>
    <row r="282" spans="2:9" s="64" customFormat="1" ht="14.25">
      <c r="B282" s="64" t="s">
        <v>343</v>
      </c>
      <c r="C282" s="64" t="s">
        <v>341</v>
      </c>
      <c r="D282" s="64" t="s">
        <v>6</v>
      </c>
      <c r="E282" s="64">
        <v>0.102</v>
      </c>
      <c r="F282" s="65">
        <f>TRUNC(18.98,2)</f>
        <v>18.98</v>
      </c>
      <c r="G282" s="60">
        <f>TRUNC(E282*F282,2)</f>
        <v>1.93</v>
      </c>
      <c r="H282" s="60"/>
      <c r="I282" s="61"/>
    </row>
    <row r="283" spans="5:9" s="64" customFormat="1" ht="14.25">
      <c r="E283" s="64" t="s">
        <v>7</v>
      </c>
      <c r="F283" s="65"/>
      <c r="G283" s="60">
        <f>TRUNC(SUM(G279:G282),2)</f>
        <v>7.73</v>
      </c>
      <c r="H283" s="60"/>
      <c r="I283" s="61"/>
    </row>
    <row r="284" spans="1:10" s="96" customFormat="1" ht="28.5">
      <c r="A284" s="96" t="s">
        <v>384</v>
      </c>
      <c r="B284" s="96" t="s">
        <v>359</v>
      </c>
      <c r="C284" s="96" t="s">
        <v>360</v>
      </c>
      <c r="D284" s="96" t="s">
        <v>12</v>
      </c>
      <c r="E284" s="96">
        <v>7</v>
      </c>
      <c r="F284" s="97">
        <f>TRUNC(G288,2)</f>
        <v>8.9</v>
      </c>
      <c r="G284" s="90">
        <f>TRUNC(F284*1.2977,2)</f>
        <v>11.54</v>
      </c>
      <c r="H284" s="90">
        <f>TRUNC(F284*E284,2)</f>
        <v>62.3</v>
      </c>
      <c r="I284" s="91">
        <f>TRUNC(E284*G284,2)</f>
        <v>80.78</v>
      </c>
      <c r="J284" s="96">
        <v>12.05</v>
      </c>
    </row>
    <row r="285" spans="2:9" s="64" customFormat="1" ht="14.25">
      <c r="B285" s="64" t="s">
        <v>361</v>
      </c>
      <c r="C285" s="64" t="s">
        <v>362</v>
      </c>
      <c r="D285" s="64" t="s">
        <v>12</v>
      </c>
      <c r="E285" s="64">
        <v>1</v>
      </c>
      <c r="F285" s="65">
        <f>TRUNC(2.01,2)</f>
        <v>2.01</v>
      </c>
      <c r="G285" s="60">
        <f>TRUNC(E285*F285,2)</f>
        <v>2.01</v>
      </c>
      <c r="H285" s="60"/>
      <c r="I285" s="61"/>
    </row>
    <row r="286" spans="2:9" s="64" customFormat="1" ht="14.25">
      <c r="B286" s="64" t="s">
        <v>342</v>
      </c>
      <c r="C286" s="64" t="s">
        <v>340</v>
      </c>
      <c r="D286" s="64" t="s">
        <v>6</v>
      </c>
      <c r="E286" s="64">
        <v>0.16</v>
      </c>
      <c r="F286" s="65">
        <f>TRUNC(24.17,2)</f>
        <v>24.17</v>
      </c>
      <c r="G286" s="60">
        <f>TRUNC(E286*F286,2)</f>
        <v>3.86</v>
      </c>
      <c r="H286" s="60"/>
      <c r="I286" s="61"/>
    </row>
    <row r="287" spans="2:9" s="64" customFormat="1" ht="14.25">
      <c r="B287" s="64" t="s">
        <v>343</v>
      </c>
      <c r="C287" s="64" t="s">
        <v>341</v>
      </c>
      <c r="D287" s="64" t="s">
        <v>6</v>
      </c>
      <c r="E287" s="64">
        <v>0.16</v>
      </c>
      <c r="F287" s="65">
        <f>TRUNC(18.98,2)</f>
        <v>18.98</v>
      </c>
      <c r="G287" s="60">
        <f>TRUNC(E287*F287,2)</f>
        <v>3.03</v>
      </c>
      <c r="H287" s="60"/>
      <c r="I287" s="61"/>
    </row>
    <row r="288" spans="5:9" s="64" customFormat="1" ht="14.25">
      <c r="E288" s="64" t="s">
        <v>7</v>
      </c>
      <c r="F288" s="65"/>
      <c r="G288" s="60">
        <f>TRUNC(SUM(G285:G287),2)</f>
        <v>8.9</v>
      </c>
      <c r="H288" s="60"/>
      <c r="I288" s="61"/>
    </row>
    <row r="289" spans="1:10" s="96" customFormat="1" ht="28.5">
      <c r="A289" s="96" t="s">
        <v>385</v>
      </c>
      <c r="B289" s="96" t="s">
        <v>363</v>
      </c>
      <c r="C289" s="96" t="s">
        <v>364</v>
      </c>
      <c r="D289" s="96" t="s">
        <v>12</v>
      </c>
      <c r="E289" s="96">
        <v>1</v>
      </c>
      <c r="F289" s="97">
        <f>TRUNC(G294,2)</f>
        <v>24.58</v>
      </c>
      <c r="G289" s="90">
        <f>TRUNC(F289*1.2977,2)</f>
        <v>31.89</v>
      </c>
      <c r="H289" s="90">
        <f>TRUNC(F289*E289,2)</f>
        <v>24.58</v>
      </c>
      <c r="I289" s="91">
        <f>TRUNC(E289*G289,2)</f>
        <v>31.89</v>
      </c>
      <c r="J289" s="96">
        <v>31.19</v>
      </c>
    </row>
    <row r="290" spans="2:9" s="64" customFormat="1" ht="14.25">
      <c r="B290" s="64" t="s">
        <v>365</v>
      </c>
      <c r="C290" s="64" t="s">
        <v>366</v>
      </c>
      <c r="D290" s="64" t="s">
        <v>12</v>
      </c>
      <c r="E290" s="64">
        <v>1</v>
      </c>
      <c r="F290" s="65">
        <f>TRUNC(14.8,2)</f>
        <v>14.8</v>
      </c>
      <c r="G290" s="60">
        <f>TRUNC(E290*F290,2)</f>
        <v>14.8</v>
      </c>
      <c r="H290" s="60"/>
      <c r="I290" s="61"/>
    </row>
    <row r="291" spans="2:9" s="64" customFormat="1" ht="14.25">
      <c r="B291" s="64" t="s">
        <v>245</v>
      </c>
      <c r="C291" s="64" t="s">
        <v>139</v>
      </c>
      <c r="D291" s="64" t="s">
        <v>6</v>
      </c>
      <c r="E291" s="64">
        <v>0.1693</v>
      </c>
      <c r="F291" s="65">
        <f>TRUNC(19.21,2)</f>
        <v>19.21</v>
      </c>
      <c r="G291" s="60">
        <f>TRUNC(E291*F291,2)</f>
        <v>3.25</v>
      </c>
      <c r="H291" s="60"/>
      <c r="I291" s="61"/>
    </row>
    <row r="292" spans="2:9" s="64" customFormat="1" ht="14.25">
      <c r="B292" s="64" t="s">
        <v>367</v>
      </c>
      <c r="C292" s="64" t="s">
        <v>368</v>
      </c>
      <c r="D292" s="64" t="s">
        <v>6</v>
      </c>
      <c r="E292" s="64">
        <v>0.1693</v>
      </c>
      <c r="F292" s="65">
        <f>TRUNC(24.16,2)</f>
        <v>24.16</v>
      </c>
      <c r="G292" s="60">
        <f>TRUNC(E292*F292,2)</f>
        <v>4.09</v>
      </c>
      <c r="H292" s="60"/>
      <c r="I292" s="61"/>
    </row>
    <row r="293" spans="2:9" s="64" customFormat="1" ht="42.75">
      <c r="B293" s="64" t="s">
        <v>369</v>
      </c>
      <c r="C293" s="64" t="s">
        <v>370</v>
      </c>
      <c r="D293" s="64" t="s">
        <v>1</v>
      </c>
      <c r="E293" s="64">
        <v>0.0141</v>
      </c>
      <c r="F293" s="65">
        <f>TRUNC(173.28,2)</f>
        <v>173.28</v>
      </c>
      <c r="G293" s="60">
        <f>TRUNC(E293*F293,2)</f>
        <v>2.44</v>
      </c>
      <c r="H293" s="60"/>
      <c r="I293" s="61"/>
    </row>
    <row r="294" spans="5:9" s="64" customFormat="1" ht="14.25">
      <c r="E294" s="64" t="s">
        <v>7</v>
      </c>
      <c r="F294" s="65"/>
      <c r="G294" s="60">
        <f>TRUNC(SUM(G290:G293),2)</f>
        <v>24.58</v>
      </c>
      <c r="H294" s="60"/>
      <c r="I294" s="61"/>
    </row>
    <row r="295" spans="1:10" s="96" customFormat="1" ht="42.75">
      <c r="A295" s="96" t="s">
        <v>386</v>
      </c>
      <c r="B295" s="96" t="s">
        <v>390</v>
      </c>
      <c r="C295" s="96" t="s">
        <v>389</v>
      </c>
      <c r="D295" s="96" t="s">
        <v>12</v>
      </c>
      <c r="E295" s="96">
        <v>1</v>
      </c>
      <c r="F295" s="97">
        <f>TRUNC(G302,2)</f>
        <v>502.92</v>
      </c>
      <c r="G295" s="90">
        <f>TRUNC(F295*1.2977,2)</f>
        <v>652.63</v>
      </c>
      <c r="H295" s="90">
        <f>TRUNC(F295*E295,2)</f>
        <v>502.92</v>
      </c>
      <c r="I295" s="91">
        <f>TRUNC(E295*G295,2)</f>
        <v>652.63</v>
      </c>
      <c r="J295" s="96">
        <v>638.37</v>
      </c>
    </row>
    <row r="296" spans="2:9" s="64" customFormat="1" ht="28.5">
      <c r="B296" s="64" t="s">
        <v>391</v>
      </c>
      <c r="C296" s="64" t="s">
        <v>392</v>
      </c>
      <c r="D296" s="64" t="s">
        <v>12</v>
      </c>
      <c r="E296" s="64">
        <v>1</v>
      </c>
      <c r="F296" s="65">
        <f>TRUNC(322.4,2)</f>
        <v>322.4</v>
      </c>
      <c r="G296" s="60">
        <f aca="true" t="shared" si="9" ref="G296:G301">TRUNC(E296*F296,2)</f>
        <v>322.4</v>
      </c>
      <c r="H296" s="60"/>
      <c r="I296" s="61"/>
    </row>
    <row r="297" spans="2:9" s="64" customFormat="1" ht="28.5">
      <c r="B297" s="64" t="s">
        <v>72</v>
      </c>
      <c r="C297" s="64" t="s">
        <v>73</v>
      </c>
      <c r="D297" s="64" t="s">
        <v>6</v>
      </c>
      <c r="E297" s="64">
        <v>5.665</v>
      </c>
      <c r="F297" s="65">
        <f>TRUNC(12.54,2)</f>
        <v>12.54</v>
      </c>
      <c r="G297" s="60">
        <f t="shared" si="9"/>
        <v>71.03</v>
      </c>
      <c r="H297" s="60"/>
      <c r="I297" s="61"/>
    </row>
    <row r="298" spans="2:9" s="64" customFormat="1" ht="14.25">
      <c r="B298" s="64" t="s">
        <v>393</v>
      </c>
      <c r="C298" s="64" t="s">
        <v>394</v>
      </c>
      <c r="D298" s="64" t="s">
        <v>6</v>
      </c>
      <c r="E298" s="64">
        <v>1</v>
      </c>
      <c r="F298" s="65">
        <f>TRUNC(34.1554,2)</f>
        <v>34.15</v>
      </c>
      <c r="G298" s="60">
        <f t="shared" si="9"/>
        <v>34.15</v>
      </c>
      <c r="H298" s="60"/>
      <c r="I298" s="61"/>
    </row>
    <row r="299" spans="2:9" s="64" customFormat="1" ht="14.25">
      <c r="B299" s="64" t="s">
        <v>395</v>
      </c>
      <c r="C299" s="64" t="s">
        <v>396</v>
      </c>
      <c r="D299" s="64" t="s">
        <v>6</v>
      </c>
      <c r="E299" s="64">
        <v>1</v>
      </c>
      <c r="F299" s="65">
        <f>TRUNC(48.7601,2)</f>
        <v>48.76</v>
      </c>
      <c r="G299" s="60">
        <f t="shared" si="9"/>
        <v>48.76</v>
      </c>
      <c r="H299" s="60"/>
      <c r="I299" s="61"/>
    </row>
    <row r="300" spans="2:9" s="64" customFormat="1" ht="14.25">
      <c r="B300" s="64" t="s">
        <v>397</v>
      </c>
      <c r="C300" s="64" t="s">
        <v>398</v>
      </c>
      <c r="D300" s="64" t="s">
        <v>1</v>
      </c>
      <c r="E300" s="64">
        <v>0.1</v>
      </c>
      <c r="F300" s="65">
        <f>TRUNC(56.5633,2)</f>
        <v>56.56</v>
      </c>
      <c r="G300" s="60">
        <f t="shared" si="9"/>
        <v>5.65</v>
      </c>
      <c r="H300" s="60"/>
      <c r="I300" s="61"/>
    </row>
    <row r="301" spans="2:9" s="64" customFormat="1" ht="14.25">
      <c r="B301" s="64" t="s">
        <v>399</v>
      </c>
      <c r="C301" s="64" t="s">
        <v>400</v>
      </c>
      <c r="D301" s="64" t="s">
        <v>1</v>
      </c>
      <c r="E301" s="64">
        <v>0.1</v>
      </c>
      <c r="F301" s="65">
        <f>TRUNC(209.3668,2)</f>
        <v>209.36</v>
      </c>
      <c r="G301" s="60">
        <f t="shared" si="9"/>
        <v>20.93</v>
      </c>
      <c r="H301" s="60"/>
      <c r="I301" s="61"/>
    </row>
    <row r="302" spans="5:9" s="64" customFormat="1" ht="14.25">
      <c r="E302" s="64" t="s">
        <v>7</v>
      </c>
      <c r="F302" s="65"/>
      <c r="G302" s="60">
        <f>TRUNC(SUM(G296:G301),2)</f>
        <v>502.92</v>
      </c>
      <c r="H302" s="60"/>
      <c r="I302" s="61"/>
    </row>
    <row r="303" spans="1:10" s="96" customFormat="1" ht="42.75">
      <c r="A303" s="96" t="s">
        <v>387</v>
      </c>
      <c r="B303" s="96" t="s">
        <v>451</v>
      </c>
      <c r="C303" s="96" t="s">
        <v>452</v>
      </c>
      <c r="D303" s="96" t="s">
        <v>12</v>
      </c>
      <c r="E303" s="96">
        <v>1</v>
      </c>
      <c r="F303" s="97">
        <f>TRUNC(G308,2)</f>
        <v>244.67</v>
      </c>
      <c r="G303" s="90">
        <f>TRUNC(F303*1.2977,2)</f>
        <v>317.5</v>
      </c>
      <c r="H303" s="90">
        <f>TRUNC(F303*E303,2)</f>
        <v>244.67</v>
      </c>
      <c r="I303" s="91">
        <f>TRUNC(E303*G303,2)</f>
        <v>317.5</v>
      </c>
      <c r="J303" s="96">
        <v>341.01</v>
      </c>
    </row>
    <row r="304" spans="2:9" s="64" customFormat="1" ht="14.25">
      <c r="B304" s="64" t="s">
        <v>166</v>
      </c>
      <c r="C304" s="64" t="s">
        <v>118</v>
      </c>
      <c r="D304" s="64" t="s">
        <v>47</v>
      </c>
      <c r="E304" s="64">
        <v>0.18125</v>
      </c>
      <c r="F304" s="65">
        <f>TRUNC(49.01,2)</f>
        <v>49.01</v>
      </c>
      <c r="G304" s="60">
        <f>TRUNC(E304*F304,2)</f>
        <v>8.88</v>
      </c>
      <c r="H304" s="60"/>
      <c r="I304" s="61"/>
    </row>
    <row r="305" spans="2:9" s="64" customFormat="1" ht="14.25">
      <c r="B305" s="64" t="s">
        <v>453</v>
      </c>
      <c r="C305" s="64" t="s">
        <v>454</v>
      </c>
      <c r="D305" s="64" t="s">
        <v>5</v>
      </c>
      <c r="E305" s="64">
        <v>25</v>
      </c>
      <c r="F305" s="65">
        <f>TRUNC(0.347,2)</f>
        <v>0.34</v>
      </c>
      <c r="G305" s="60">
        <f>TRUNC(E305*F305,2)</f>
        <v>8.5</v>
      </c>
      <c r="H305" s="60"/>
      <c r="I305" s="61"/>
    </row>
    <row r="306" spans="2:9" s="64" customFormat="1" ht="14.25">
      <c r="B306" s="64" t="s">
        <v>455</v>
      </c>
      <c r="C306" s="64" t="s">
        <v>456</v>
      </c>
      <c r="D306" s="64" t="s">
        <v>1</v>
      </c>
      <c r="E306" s="64">
        <v>0.125</v>
      </c>
      <c r="F306" s="65">
        <f>TRUNC(55,2)</f>
        <v>55</v>
      </c>
      <c r="G306" s="60">
        <f>TRUNC(E306*F306,2)</f>
        <v>6.87</v>
      </c>
      <c r="H306" s="60"/>
      <c r="I306" s="61"/>
    </row>
    <row r="307" spans="2:9" s="64" customFormat="1" ht="28.5">
      <c r="B307" s="64" t="s">
        <v>285</v>
      </c>
      <c r="C307" s="64" t="s">
        <v>286</v>
      </c>
      <c r="D307" s="64" t="s">
        <v>6</v>
      </c>
      <c r="E307" s="64">
        <v>20.6</v>
      </c>
      <c r="F307" s="65">
        <f>TRUNC(10.7,2)</f>
        <v>10.7</v>
      </c>
      <c r="G307" s="60">
        <f>TRUNC(E307*F307,2)</f>
        <v>220.42</v>
      </c>
      <c r="H307" s="60"/>
      <c r="I307" s="61"/>
    </row>
    <row r="308" spans="5:9" s="64" customFormat="1" ht="14.25">
      <c r="E308" s="64" t="s">
        <v>7</v>
      </c>
      <c r="F308" s="65"/>
      <c r="G308" s="60">
        <f>TRUNC(SUM(G304:G307),2)</f>
        <v>244.67</v>
      </c>
      <c r="H308" s="60"/>
      <c r="I308" s="61"/>
    </row>
    <row r="309" spans="1:10" s="96" customFormat="1" ht="42.75">
      <c r="A309" s="96" t="s">
        <v>457</v>
      </c>
      <c r="B309" s="96" t="s">
        <v>407</v>
      </c>
      <c r="C309" s="96" t="s">
        <v>408</v>
      </c>
      <c r="D309" s="96" t="s">
        <v>12</v>
      </c>
      <c r="E309" s="96">
        <v>5</v>
      </c>
      <c r="F309" s="97">
        <f>TRUNC(G314,2)</f>
        <v>5.3</v>
      </c>
      <c r="G309" s="90">
        <f>TRUNC(F309*1.2977,2)</f>
        <v>6.87</v>
      </c>
      <c r="H309" s="90">
        <f>TRUNC(F309*E309,2)</f>
        <v>26.5</v>
      </c>
      <c r="I309" s="91">
        <f>TRUNC(E309*G309,2)</f>
        <v>34.35</v>
      </c>
      <c r="J309" s="96">
        <v>36.45</v>
      </c>
    </row>
    <row r="310" spans="2:9" s="64" customFormat="1" ht="14.25">
      <c r="B310" s="64" t="s">
        <v>409</v>
      </c>
      <c r="C310" s="64" t="s">
        <v>410</v>
      </c>
      <c r="D310" s="64" t="s">
        <v>12</v>
      </c>
      <c r="E310" s="64">
        <v>1</v>
      </c>
      <c r="F310" s="65">
        <f>TRUNC(0.03,2)</f>
        <v>0.03</v>
      </c>
      <c r="G310" s="60">
        <f>TRUNC(E310*F310,2)</f>
        <v>0.03</v>
      </c>
      <c r="H310" s="60"/>
      <c r="I310" s="61"/>
    </row>
    <row r="311" spans="2:9" s="64" customFormat="1" ht="14.25">
      <c r="B311" s="64" t="s">
        <v>411</v>
      </c>
      <c r="C311" s="64" t="s">
        <v>412</v>
      </c>
      <c r="D311" s="64" t="s">
        <v>12</v>
      </c>
      <c r="E311" s="64">
        <v>1</v>
      </c>
      <c r="F311" s="65">
        <f>TRUNC(0.02,2)</f>
        <v>0.02</v>
      </c>
      <c r="G311" s="60">
        <f>TRUNC(E311*F311,2)</f>
        <v>0.02</v>
      </c>
      <c r="H311" s="60"/>
      <c r="I311" s="61"/>
    </row>
    <row r="312" spans="2:9" s="64" customFormat="1" ht="14.25">
      <c r="B312" s="64" t="s">
        <v>413</v>
      </c>
      <c r="C312" s="64" t="s">
        <v>414</v>
      </c>
      <c r="D312" s="64" t="s">
        <v>12</v>
      </c>
      <c r="E312" s="64">
        <v>1</v>
      </c>
      <c r="F312" s="65">
        <f>TRUNC(0.98,2)</f>
        <v>0.98</v>
      </c>
      <c r="G312" s="60">
        <f>TRUNC(E312*F312,2)</f>
        <v>0.98</v>
      </c>
      <c r="H312" s="60"/>
      <c r="I312" s="61"/>
    </row>
    <row r="313" spans="2:9" s="64" customFormat="1" ht="28.5">
      <c r="B313" s="64" t="s">
        <v>83</v>
      </c>
      <c r="C313" s="64" t="s">
        <v>84</v>
      </c>
      <c r="D313" s="64" t="s">
        <v>6</v>
      </c>
      <c r="E313" s="64">
        <v>0.2472</v>
      </c>
      <c r="F313" s="65">
        <f>TRUNC(17.3,2)</f>
        <v>17.3</v>
      </c>
      <c r="G313" s="60">
        <f>TRUNC(E313*F313,2)</f>
        <v>4.27</v>
      </c>
      <c r="H313" s="60"/>
      <c r="I313" s="61"/>
    </row>
    <row r="314" spans="5:9" s="64" customFormat="1" ht="14.25">
      <c r="E314" s="64" t="s">
        <v>7</v>
      </c>
      <c r="F314" s="65"/>
      <c r="G314" s="60">
        <f>TRUNC(SUM(G310:G313),2)</f>
        <v>5.3</v>
      </c>
      <c r="H314" s="60"/>
      <c r="I314" s="61"/>
    </row>
    <row r="315" spans="1:10" s="39" customFormat="1" ht="15.75">
      <c r="A315" s="48" t="s">
        <v>52</v>
      </c>
      <c r="B315" s="50"/>
      <c r="C315" s="49"/>
      <c r="D315" s="50"/>
      <c r="E315" s="50"/>
      <c r="F315" s="50" t="s">
        <v>388</v>
      </c>
      <c r="G315" s="50"/>
      <c r="H315" s="51">
        <f>H289+H284+H278+H273+H267+H248+H242+H237+H232+H227+H223+H220+H217+H295+H303+H309</f>
        <v>5751.820000000001</v>
      </c>
      <c r="I315" s="51">
        <f>I289+I284+I278+I273+I267+I248+I242+I237+I232+I227+I223+I220+I217+I295+I303+I309</f>
        <v>7463.670000000001</v>
      </c>
      <c r="J315" s="39">
        <v>7344.05</v>
      </c>
    </row>
    <row r="316" spans="1:9" s="38" customFormat="1" ht="15.75">
      <c r="A316" s="38" t="s">
        <v>24</v>
      </c>
      <c r="B316" s="46"/>
      <c r="C316" s="47" t="s">
        <v>69</v>
      </c>
      <c r="D316" s="47"/>
      <c r="E316" s="47"/>
      <c r="F316" s="47"/>
      <c r="G316" s="47"/>
      <c r="H316" s="47"/>
      <c r="I316" s="45"/>
    </row>
    <row r="317" spans="1:10" s="96" customFormat="1" ht="28.5">
      <c r="A317" s="96" t="s">
        <v>265</v>
      </c>
      <c r="B317" s="96" t="s">
        <v>97</v>
      </c>
      <c r="C317" s="96" t="s">
        <v>98</v>
      </c>
      <c r="D317" s="96" t="s">
        <v>16</v>
      </c>
      <c r="E317" s="96">
        <v>1</v>
      </c>
      <c r="F317" s="97">
        <f>TRUNC(G319,2)</f>
        <v>1963.5</v>
      </c>
      <c r="G317" s="90">
        <f>TRUNC(F317*1.2977,2)</f>
        <v>2548.03</v>
      </c>
      <c r="H317" s="90">
        <f>TRUNC(F317*E317,2)</f>
        <v>1963.5</v>
      </c>
      <c r="I317" s="91">
        <f>TRUNC(E317*G317,2)</f>
        <v>2548.03</v>
      </c>
      <c r="J317" s="96">
        <v>2404.69</v>
      </c>
    </row>
    <row r="318" spans="2:9" s="64" customFormat="1" ht="14.25">
      <c r="B318" s="64" t="s">
        <v>60</v>
      </c>
      <c r="C318" s="64" t="s">
        <v>99</v>
      </c>
      <c r="D318" s="64" t="s">
        <v>12</v>
      </c>
      <c r="E318" s="64">
        <v>1</v>
      </c>
      <c r="F318" s="65">
        <f>TRUNC(1963.5,2)</f>
        <v>1963.5</v>
      </c>
      <c r="G318" s="60">
        <f>TRUNC(E318*F318,2)</f>
        <v>1963.5</v>
      </c>
      <c r="H318" s="60"/>
      <c r="I318" s="61"/>
    </row>
    <row r="319" spans="5:9" s="64" customFormat="1" ht="14.25">
      <c r="E319" s="64" t="s">
        <v>7</v>
      </c>
      <c r="F319" s="65"/>
      <c r="G319" s="60">
        <f>TRUNC(SUM(G318:G318),2)</f>
        <v>1963.5</v>
      </c>
      <c r="H319" s="60"/>
      <c r="I319" s="61"/>
    </row>
    <row r="320" spans="1:10" s="96" customFormat="1" ht="14.25">
      <c r="A320" s="96" t="s">
        <v>266</v>
      </c>
      <c r="B320" s="96" t="s">
        <v>100</v>
      </c>
      <c r="C320" s="96" t="s">
        <v>101</v>
      </c>
      <c r="D320" s="96" t="s">
        <v>16</v>
      </c>
      <c r="E320" s="96">
        <v>1</v>
      </c>
      <c r="F320" s="97">
        <f>TRUNC(G322,2)</f>
        <v>55.95</v>
      </c>
      <c r="G320" s="90">
        <f>TRUNC(F320*1.2977,2)</f>
        <v>72.6</v>
      </c>
      <c r="H320" s="90">
        <f>TRUNC(F320*E320,2)</f>
        <v>55.95</v>
      </c>
      <c r="I320" s="91">
        <f>TRUNC(E320*G320,2)</f>
        <v>72.6</v>
      </c>
      <c r="J320" s="96">
        <v>68.52</v>
      </c>
    </row>
    <row r="321" spans="2:9" s="64" customFormat="1" ht="14.25">
      <c r="B321" s="64" t="s">
        <v>17</v>
      </c>
      <c r="C321" s="64" t="s">
        <v>102</v>
      </c>
      <c r="D321" s="64" t="s">
        <v>12</v>
      </c>
      <c r="E321" s="64">
        <v>1</v>
      </c>
      <c r="F321" s="65">
        <f>TRUNC(55.95,2)</f>
        <v>55.95</v>
      </c>
      <c r="G321" s="60">
        <f>TRUNC(E321*F321,2)</f>
        <v>55.95</v>
      </c>
      <c r="H321" s="60"/>
      <c r="I321" s="61"/>
    </row>
    <row r="322" spans="5:9" s="64" customFormat="1" ht="14.25">
      <c r="E322" s="64" t="s">
        <v>7</v>
      </c>
      <c r="F322" s="65"/>
      <c r="G322" s="60">
        <f>TRUNC(SUM(G321:G321),2)</f>
        <v>55.95</v>
      </c>
      <c r="H322" s="60"/>
      <c r="I322" s="61"/>
    </row>
    <row r="323" spans="1:10" s="39" customFormat="1" ht="15.75">
      <c r="A323" s="48" t="s">
        <v>52</v>
      </c>
      <c r="B323" s="50"/>
      <c r="C323" s="49"/>
      <c r="D323" s="50"/>
      <c r="E323" s="50"/>
      <c r="F323" s="50" t="s">
        <v>61</v>
      </c>
      <c r="G323" s="50"/>
      <c r="H323" s="52">
        <f>H320+H317</f>
        <v>2019.45</v>
      </c>
      <c r="I323" s="52">
        <f>I320+I317</f>
        <v>2620.63</v>
      </c>
      <c r="J323" s="39">
        <v>2473.21</v>
      </c>
    </row>
    <row r="324" spans="1:9" s="38" customFormat="1" ht="15.75">
      <c r="A324" s="38" t="s">
        <v>372</v>
      </c>
      <c r="B324" s="46"/>
      <c r="C324" s="47" t="s">
        <v>70</v>
      </c>
      <c r="D324" s="47"/>
      <c r="E324" s="47"/>
      <c r="F324" s="47"/>
      <c r="G324" s="47"/>
      <c r="H324" s="47"/>
      <c r="I324" s="45"/>
    </row>
    <row r="325" spans="1:11" s="96" customFormat="1" ht="28.5">
      <c r="A325" s="96" t="s">
        <v>373</v>
      </c>
      <c r="B325" s="96" t="s">
        <v>202</v>
      </c>
      <c r="C325" s="96" t="s">
        <v>203</v>
      </c>
      <c r="D325" s="96" t="s">
        <v>47</v>
      </c>
      <c r="E325" s="96">
        <v>0.985</v>
      </c>
      <c r="F325" s="97">
        <f>TRUNC(G327,2)</f>
        <v>11.16</v>
      </c>
      <c r="G325" s="90">
        <f>TRUNC(F325*1.2977,2)</f>
        <v>14.48</v>
      </c>
      <c r="H325" s="90">
        <f>TRUNC(F325*E325,2)</f>
        <v>10.99</v>
      </c>
      <c r="I325" s="91">
        <f>TRUNC(E325*G325,2)</f>
        <v>14.26</v>
      </c>
      <c r="J325" s="96">
        <v>13.71</v>
      </c>
      <c r="K325" s="96">
        <f>260.58*3.05</f>
        <v>794.7689999999999</v>
      </c>
    </row>
    <row r="326" spans="2:9" s="64" customFormat="1" ht="42.75">
      <c r="B326" s="64" t="s">
        <v>204</v>
      </c>
      <c r="C326" s="64" t="s">
        <v>205</v>
      </c>
      <c r="D326" s="64" t="s">
        <v>51</v>
      </c>
      <c r="E326" s="64">
        <v>0.0843</v>
      </c>
      <c r="F326" s="65">
        <f>TRUNC(132.48,2)</f>
        <v>132.48</v>
      </c>
      <c r="G326" s="60">
        <f>TRUNC(E326*F326,2)</f>
        <v>11.16</v>
      </c>
      <c r="H326" s="60"/>
      <c r="I326" s="61"/>
    </row>
    <row r="327" spans="5:9" s="64" customFormat="1" ht="14.25">
      <c r="E327" s="64" t="s">
        <v>7</v>
      </c>
      <c r="F327" s="65"/>
      <c r="G327" s="60">
        <f>TRUNC(SUM(G326:G326),2)</f>
        <v>11.16</v>
      </c>
      <c r="H327" s="60"/>
      <c r="I327" s="61"/>
    </row>
    <row r="328" spans="1:10" s="96" customFormat="1" ht="14.25">
      <c r="A328" s="96" t="s">
        <v>374</v>
      </c>
      <c r="B328" s="96" t="s">
        <v>206</v>
      </c>
      <c r="C328" s="96" t="s">
        <v>207</v>
      </c>
      <c r="D328" s="96" t="s">
        <v>63</v>
      </c>
      <c r="E328" s="96">
        <v>5.91</v>
      </c>
      <c r="F328" s="97">
        <f>TRUNC(G330,2)</f>
        <v>0.59</v>
      </c>
      <c r="G328" s="90">
        <f>TRUNC(F328*1.2977,2)</f>
        <v>0.76</v>
      </c>
      <c r="H328" s="90">
        <f>TRUNC(F328*E328,2)</f>
        <v>3.48</v>
      </c>
      <c r="I328" s="91">
        <f>TRUNC(E328*G328,2)</f>
        <v>4.49</v>
      </c>
      <c r="J328" s="96">
        <v>4.31</v>
      </c>
    </row>
    <row r="329" spans="2:9" s="64" customFormat="1" ht="42.75">
      <c r="B329" s="64" t="s">
        <v>204</v>
      </c>
      <c r="C329" s="64" t="s">
        <v>205</v>
      </c>
      <c r="D329" s="64" t="s">
        <v>51</v>
      </c>
      <c r="E329" s="64">
        <v>0.0045</v>
      </c>
      <c r="F329" s="65">
        <f>TRUNC(132.48,2)</f>
        <v>132.48</v>
      </c>
      <c r="G329" s="60">
        <f>TRUNC(E329*F329,2)</f>
        <v>0.59</v>
      </c>
      <c r="H329" s="60"/>
      <c r="I329" s="61"/>
    </row>
    <row r="330" spans="5:9" s="64" customFormat="1" ht="14.25">
      <c r="E330" s="64" t="s">
        <v>7</v>
      </c>
      <c r="F330" s="65"/>
      <c r="G330" s="60">
        <f>TRUNC(SUM(G329:G329),2)</f>
        <v>0.59</v>
      </c>
      <c r="H330" s="60"/>
      <c r="I330" s="61"/>
    </row>
    <row r="331" spans="1:10" s="96" customFormat="1" ht="57">
      <c r="A331" s="96" t="s">
        <v>465</v>
      </c>
      <c r="B331" s="96" t="s">
        <v>459</v>
      </c>
      <c r="C331" s="96" t="s">
        <v>460</v>
      </c>
      <c r="D331" s="96" t="s">
        <v>12</v>
      </c>
      <c r="E331" s="96">
        <v>2</v>
      </c>
      <c r="F331" s="97">
        <f>TRUNC(G334,2)</f>
        <v>237.74</v>
      </c>
      <c r="G331" s="90">
        <f>TRUNC(F331*1.2977,2)</f>
        <v>308.51</v>
      </c>
      <c r="H331" s="90">
        <f>TRUNC(F331*E331,2)</f>
        <v>475.48</v>
      </c>
      <c r="I331" s="91">
        <f>TRUNC(E331*G331,2)</f>
        <v>617.02</v>
      </c>
      <c r="J331" s="96">
        <v>585.24</v>
      </c>
    </row>
    <row r="332" spans="2:9" s="64" customFormat="1" ht="28.5">
      <c r="B332" s="64" t="s">
        <v>72</v>
      </c>
      <c r="C332" s="64" t="s">
        <v>73</v>
      </c>
      <c r="D332" s="64" t="s">
        <v>6</v>
      </c>
      <c r="E332" s="64">
        <v>0.618</v>
      </c>
      <c r="F332" s="65">
        <f>TRUNC(12.54,2)</f>
        <v>12.54</v>
      </c>
      <c r="G332" s="60">
        <f>TRUNC(E332*F332,2)</f>
        <v>7.74</v>
      </c>
      <c r="H332" s="60"/>
      <c r="I332" s="61"/>
    </row>
    <row r="333" spans="2:9" s="64" customFormat="1" ht="28.5">
      <c r="B333" s="64" t="s">
        <v>461</v>
      </c>
      <c r="C333" s="64" t="s">
        <v>462</v>
      </c>
      <c r="D333" s="64" t="s">
        <v>12</v>
      </c>
      <c r="E333" s="64">
        <v>1</v>
      </c>
      <c r="F333" s="65">
        <f>TRUNC(230,2)</f>
        <v>230</v>
      </c>
      <c r="G333" s="60">
        <f>TRUNC(E333*F333,2)</f>
        <v>230</v>
      </c>
      <c r="H333" s="60"/>
      <c r="I333" s="61"/>
    </row>
    <row r="334" spans="5:9" s="64" customFormat="1" ht="14.25">
      <c r="E334" s="64" t="s">
        <v>7</v>
      </c>
      <c r="F334" s="65"/>
      <c r="G334" s="60">
        <f>TRUNC(SUM(G332:G333),2)</f>
        <v>237.74</v>
      </c>
      <c r="H334" s="60"/>
      <c r="I334" s="61"/>
    </row>
    <row r="335" spans="1:10" s="96" customFormat="1" ht="28.5">
      <c r="A335" s="96" t="s">
        <v>466</v>
      </c>
      <c r="B335" s="96" t="s">
        <v>463</v>
      </c>
      <c r="C335" s="96" t="s">
        <v>464</v>
      </c>
      <c r="D335" s="96" t="s">
        <v>1</v>
      </c>
      <c r="E335" s="96">
        <v>5</v>
      </c>
      <c r="F335" s="97">
        <f>TRUNC(G337,2)</f>
        <v>14.85</v>
      </c>
      <c r="G335" s="90">
        <f>TRUNC(F335*1.2977,2)</f>
        <v>19.27</v>
      </c>
      <c r="H335" s="90">
        <f>TRUNC(F335*E335,2)</f>
        <v>74.25</v>
      </c>
      <c r="I335" s="91">
        <f>TRUNC(E335*G335,2)</f>
        <v>96.35</v>
      </c>
      <c r="J335" s="96">
        <v>104.85</v>
      </c>
    </row>
    <row r="336" spans="2:9" s="64" customFormat="1" ht="28.5">
      <c r="B336" s="64" t="s">
        <v>72</v>
      </c>
      <c r="C336" s="64" t="s">
        <v>73</v>
      </c>
      <c r="D336" s="64" t="s">
        <v>6</v>
      </c>
      <c r="E336" s="64">
        <v>1.1844999999999999</v>
      </c>
      <c r="F336" s="65">
        <f>TRUNC(12.54,2)</f>
        <v>12.54</v>
      </c>
      <c r="G336" s="60">
        <f>TRUNC(E336*F336,2)</f>
        <v>14.85</v>
      </c>
      <c r="H336" s="60"/>
      <c r="I336" s="61"/>
    </row>
    <row r="337" spans="5:9" s="64" customFormat="1" ht="14.25">
      <c r="E337" s="64" t="s">
        <v>7</v>
      </c>
      <c r="F337" s="65"/>
      <c r="G337" s="60">
        <f>TRUNC(SUM(G336:G336),2)</f>
        <v>14.85</v>
      </c>
      <c r="H337" s="60"/>
      <c r="I337" s="61"/>
    </row>
    <row r="338" spans="1:10" s="96" customFormat="1" ht="14.25">
      <c r="A338" s="96" t="s">
        <v>651</v>
      </c>
      <c r="B338" s="96" t="s">
        <v>475</v>
      </c>
      <c r="C338" s="96" t="s">
        <v>476</v>
      </c>
      <c r="D338" s="96" t="s">
        <v>1</v>
      </c>
      <c r="E338" s="96">
        <v>4.9</v>
      </c>
      <c r="F338" s="97">
        <f>TRUNC(G342,2)</f>
        <v>3.96</v>
      </c>
      <c r="G338" s="90">
        <f>TRUNC(F338*1.2977,2)</f>
        <v>5.13</v>
      </c>
      <c r="H338" s="90">
        <f>TRUNC(F338*E338,2)</f>
        <v>19.4</v>
      </c>
      <c r="I338" s="91">
        <f>TRUNC(E338*G338,2)</f>
        <v>25.13</v>
      </c>
      <c r="J338" s="96">
        <v>24.4</v>
      </c>
    </row>
    <row r="339" spans="2:9" s="64" customFormat="1" ht="14.25">
      <c r="B339" s="64" t="s">
        <v>245</v>
      </c>
      <c r="C339" s="64" t="s">
        <v>139</v>
      </c>
      <c r="D339" s="64" t="s">
        <v>6</v>
      </c>
      <c r="E339" s="64">
        <v>0.018</v>
      </c>
      <c r="F339" s="65">
        <f>TRUNC(19.21,2)</f>
        <v>19.21</v>
      </c>
      <c r="G339" s="60">
        <f>TRUNC(E339*F339,2)</f>
        <v>0.34</v>
      </c>
      <c r="H339" s="60"/>
      <c r="I339" s="61"/>
    </row>
    <row r="340" spans="2:9" s="64" customFormat="1" ht="28.5">
      <c r="B340" s="64" t="s">
        <v>477</v>
      </c>
      <c r="C340" s="64" t="s">
        <v>478</v>
      </c>
      <c r="D340" s="64" t="s">
        <v>51</v>
      </c>
      <c r="E340" s="64">
        <v>0.018</v>
      </c>
      <c r="F340" s="65">
        <f>TRUNC(137.82,2)</f>
        <v>137.82</v>
      </c>
      <c r="G340" s="60">
        <f>TRUNC(E340*F340,2)</f>
        <v>2.48</v>
      </c>
      <c r="H340" s="60"/>
      <c r="I340" s="61"/>
    </row>
    <row r="341" spans="2:9" s="64" customFormat="1" ht="42.75">
      <c r="B341" s="64" t="s">
        <v>479</v>
      </c>
      <c r="C341" s="64" t="s">
        <v>480</v>
      </c>
      <c r="D341" s="64" t="s">
        <v>51</v>
      </c>
      <c r="E341" s="64">
        <v>0.007</v>
      </c>
      <c r="F341" s="65">
        <f>TRUNC(164.02,2)</f>
        <v>164.02</v>
      </c>
      <c r="G341" s="60">
        <f>TRUNC(E341*F341,2)</f>
        <v>1.14</v>
      </c>
      <c r="H341" s="60"/>
      <c r="I341" s="61"/>
    </row>
    <row r="342" spans="5:9" s="64" customFormat="1" ht="14.25">
      <c r="E342" s="64" t="s">
        <v>7</v>
      </c>
      <c r="F342" s="65"/>
      <c r="G342" s="60">
        <f>TRUNC(SUM(G339:G341),2)</f>
        <v>3.96</v>
      </c>
      <c r="H342" s="60"/>
      <c r="I342" s="61"/>
    </row>
    <row r="343" spans="1:10" s="96" customFormat="1" ht="28.5">
      <c r="A343" s="96" t="s">
        <v>652</v>
      </c>
      <c r="B343" s="96" t="s">
        <v>481</v>
      </c>
      <c r="C343" s="96" t="s">
        <v>482</v>
      </c>
      <c r="D343" s="96" t="s">
        <v>483</v>
      </c>
      <c r="E343" s="96">
        <v>73.5</v>
      </c>
      <c r="F343" s="97">
        <f>TRUNC(G346,2)</f>
        <v>1.56</v>
      </c>
      <c r="G343" s="90">
        <f>TRUNC(F343*1.2977,2)</f>
        <v>2.02</v>
      </c>
      <c r="H343" s="90">
        <f>TRUNC(F343*E343,2)</f>
        <v>114.66</v>
      </c>
      <c r="I343" s="91">
        <f>TRUNC(E343*G343,2)</f>
        <v>148.47</v>
      </c>
      <c r="J343" s="96">
        <v>141.85</v>
      </c>
    </row>
    <row r="344" spans="2:9" s="64" customFormat="1" ht="42.75">
      <c r="B344" s="64" t="s">
        <v>484</v>
      </c>
      <c r="C344" s="64" t="s">
        <v>485</v>
      </c>
      <c r="D344" s="64" t="s">
        <v>468</v>
      </c>
      <c r="E344" s="64">
        <v>0.0026</v>
      </c>
      <c r="F344" s="65">
        <f>TRUNC(34.83,2)</f>
        <v>34.83</v>
      </c>
      <c r="G344" s="60">
        <f>TRUNC(E344*F344,2)</f>
        <v>0.09</v>
      </c>
      <c r="H344" s="60"/>
      <c r="I344" s="61"/>
    </row>
    <row r="345" spans="2:9" s="64" customFormat="1" ht="42.75">
      <c r="B345" s="64" t="s">
        <v>486</v>
      </c>
      <c r="C345" s="64" t="s">
        <v>487</v>
      </c>
      <c r="D345" s="64" t="s">
        <v>51</v>
      </c>
      <c r="E345" s="64">
        <v>0.01042</v>
      </c>
      <c r="F345" s="65">
        <f>TRUNC(141.24,2)</f>
        <v>141.24</v>
      </c>
      <c r="G345" s="60">
        <f>TRUNC(E345*F345,2)</f>
        <v>1.47</v>
      </c>
      <c r="H345" s="60"/>
      <c r="I345" s="61"/>
    </row>
    <row r="346" spans="5:9" s="64" customFormat="1" ht="14.25">
      <c r="E346" s="64" t="s">
        <v>7</v>
      </c>
      <c r="F346" s="65"/>
      <c r="G346" s="60">
        <f>TRUNC(SUM(G344:G345),2)</f>
        <v>1.56</v>
      </c>
      <c r="H346" s="60"/>
      <c r="I346" s="61"/>
    </row>
    <row r="347" spans="1:10" s="39" customFormat="1" ht="15.75">
      <c r="A347" s="48" t="s">
        <v>52</v>
      </c>
      <c r="B347" s="50"/>
      <c r="C347" s="49"/>
      <c r="D347" s="50"/>
      <c r="E347" s="50"/>
      <c r="F347" s="50" t="s">
        <v>62</v>
      </c>
      <c r="G347" s="50"/>
      <c r="H347" s="51">
        <f>H328+H325+H343+H338+H335+H331</f>
        <v>698.26</v>
      </c>
      <c r="I347" s="51">
        <f>I328+I325+I343+I338+I335+I331</f>
        <v>905.72</v>
      </c>
      <c r="J347" s="39">
        <v>874.36</v>
      </c>
    </row>
    <row r="348" spans="1:10" s="39" customFormat="1" ht="15.75">
      <c r="A348" s="48" t="s">
        <v>52</v>
      </c>
      <c r="B348" s="50"/>
      <c r="C348" s="49"/>
      <c r="D348" s="50"/>
      <c r="E348" s="50"/>
      <c r="F348" s="50" t="s">
        <v>64</v>
      </c>
      <c r="G348" s="50"/>
      <c r="H348" s="52">
        <f>H323+H179+H157+H100+H215+H347+H315</f>
        <v>64550.950000000004</v>
      </c>
      <c r="I348" s="52">
        <f>I323+I179+I157+I100+I215+I347+I315</f>
        <v>83759.64</v>
      </c>
      <c r="J348" s="39">
        <v>79151.15000000001</v>
      </c>
    </row>
    <row r="349" spans="1:9" s="39" customFormat="1" ht="15.75">
      <c r="A349" s="48"/>
      <c r="B349" s="50"/>
      <c r="C349" s="49"/>
      <c r="D349" s="50"/>
      <c r="E349" s="50"/>
      <c r="F349" s="50"/>
      <c r="G349" s="50"/>
      <c r="H349" s="51"/>
      <c r="I349" s="52"/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view="pageBreakPreview" zoomScale="70" zoomScaleSheetLayoutView="70" zoomScalePageLayoutView="0" workbookViewId="0" topLeftCell="A1">
      <selection activeCell="A10" sqref="A10:A11"/>
    </sheetView>
  </sheetViews>
  <sheetFormatPr defaultColWidth="9.140625" defaultRowHeight="15"/>
  <cols>
    <col min="2" max="2" width="17.8515625" style="0" bestFit="1" customWidth="1"/>
    <col min="3" max="3" width="104.00390625" style="1" customWidth="1"/>
    <col min="4" max="4" width="8.7109375" style="0" bestFit="1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4" t="s">
        <v>106</v>
      </c>
      <c r="E3" s="125"/>
      <c r="F3" s="125"/>
      <c r="G3" s="126"/>
    </row>
    <row r="4" spans="1:7" ht="15.75">
      <c r="A4" s="9"/>
      <c r="B4" s="10"/>
      <c r="C4" s="16" t="s">
        <v>274</v>
      </c>
      <c r="D4" s="127" t="s">
        <v>276</v>
      </c>
      <c r="E4" s="128"/>
      <c r="F4" s="128"/>
      <c r="G4" s="129"/>
    </row>
    <row r="5" spans="1:7" ht="15.75">
      <c r="A5" s="9"/>
      <c r="B5" s="10"/>
      <c r="C5" s="40" t="s">
        <v>696</v>
      </c>
      <c r="D5" s="130" t="s">
        <v>195</v>
      </c>
      <c r="E5" s="131"/>
      <c r="F5" s="131"/>
      <c r="G5" s="132"/>
    </row>
    <row r="6" spans="1:7" ht="15.75">
      <c r="A6" s="9"/>
      <c r="B6" s="10"/>
      <c r="C6" s="17" t="s">
        <v>656</v>
      </c>
      <c r="D6" s="133" t="s">
        <v>196</v>
      </c>
      <c r="E6" s="134"/>
      <c r="F6" s="134"/>
      <c r="G6" s="135"/>
    </row>
    <row r="7" spans="1:7" ht="15.75">
      <c r="A7" s="9"/>
      <c r="B7" s="10"/>
      <c r="C7" s="41"/>
      <c r="D7" s="133" t="s">
        <v>197</v>
      </c>
      <c r="E7" s="134"/>
      <c r="F7" s="134"/>
      <c r="G7" s="135"/>
    </row>
    <row r="8" spans="1:7" ht="15.75">
      <c r="A8" s="18"/>
      <c r="B8" s="19"/>
      <c r="C8" s="20"/>
      <c r="D8" s="136" t="s">
        <v>65</v>
      </c>
      <c r="E8" s="137"/>
      <c r="F8" s="137"/>
      <c r="G8" s="138"/>
    </row>
    <row r="9" spans="1:7" ht="23.25" customHeight="1">
      <c r="A9" s="118" t="s">
        <v>698</v>
      </c>
      <c r="B9" s="119"/>
      <c r="C9" s="119"/>
      <c r="D9" s="119"/>
      <c r="E9" s="119"/>
      <c r="F9" s="119"/>
      <c r="G9" s="119"/>
    </row>
    <row r="10" spans="1:9" s="43" customFormat="1" ht="12.75" customHeight="1">
      <c r="A10" s="120" t="s">
        <v>29</v>
      </c>
      <c r="B10" s="121" t="s">
        <v>66</v>
      </c>
      <c r="C10" s="121" t="s">
        <v>30</v>
      </c>
      <c r="D10" s="120" t="s">
        <v>12</v>
      </c>
      <c r="E10" s="122" t="s">
        <v>31</v>
      </c>
      <c r="F10" s="123" t="s">
        <v>32</v>
      </c>
      <c r="G10" s="123"/>
      <c r="H10" s="123"/>
      <c r="I10" s="123"/>
    </row>
    <row r="11" spans="1:9" s="43" customFormat="1" ht="12.75" customHeight="1">
      <c r="A11" s="120"/>
      <c r="B11" s="121"/>
      <c r="C11" s="121"/>
      <c r="D11" s="120"/>
      <c r="E11" s="122"/>
      <c r="F11" s="44" t="s">
        <v>111</v>
      </c>
      <c r="G11" s="44" t="s">
        <v>112</v>
      </c>
      <c r="H11" s="44" t="s">
        <v>113</v>
      </c>
      <c r="I11" s="42" t="s">
        <v>114</v>
      </c>
    </row>
    <row r="12" spans="1:9" s="38" customFormat="1" ht="15.75">
      <c r="A12" s="38" t="s">
        <v>18</v>
      </c>
      <c r="B12" s="46"/>
      <c r="C12" s="47" t="s">
        <v>19</v>
      </c>
      <c r="D12" s="47"/>
      <c r="E12" s="47"/>
      <c r="F12" s="47"/>
      <c r="G12" s="47"/>
      <c r="H12" s="47"/>
      <c r="I12" s="45"/>
    </row>
    <row r="13" spans="1:11" s="115" customFormat="1" ht="42.75">
      <c r="A13" s="109" t="s">
        <v>8</v>
      </c>
      <c r="B13" s="110" t="s">
        <v>208</v>
      </c>
      <c r="C13" s="111" t="s">
        <v>108</v>
      </c>
      <c r="D13" s="112" t="s">
        <v>0</v>
      </c>
      <c r="E13" s="113">
        <v>6</v>
      </c>
      <c r="F13" s="114">
        <f>TRUNC(G19,2)</f>
        <v>175.2</v>
      </c>
      <c r="G13" s="98">
        <f>TRUNC(F13*1.2338,2)</f>
        <v>216.16</v>
      </c>
      <c r="H13" s="99">
        <f>TRUNC(E13*F13,2)</f>
        <v>1051.2</v>
      </c>
      <c r="I13" s="99">
        <f>TRUNC(E13*G13,2)</f>
        <v>1296.96</v>
      </c>
      <c r="K13" s="116"/>
    </row>
    <row r="14" spans="1:11" s="62" customFormat="1" ht="28.5">
      <c r="A14" s="54"/>
      <c r="B14" s="55" t="s">
        <v>109</v>
      </c>
      <c r="C14" s="56" t="s">
        <v>110</v>
      </c>
      <c r="D14" s="57" t="s">
        <v>0</v>
      </c>
      <c r="E14" s="58">
        <v>1</v>
      </c>
      <c r="F14" s="59">
        <f>TRUNC(68.73,2)</f>
        <v>68.73</v>
      </c>
      <c r="G14" s="60">
        <f>TRUNC(E14*F14,2)</f>
        <v>68.73</v>
      </c>
      <c r="H14" s="61"/>
      <c r="I14" s="61"/>
      <c r="K14" s="63"/>
    </row>
    <row r="15" spans="1:11" s="62" customFormat="1" ht="28.5">
      <c r="A15" s="54"/>
      <c r="B15" s="55" t="s">
        <v>4</v>
      </c>
      <c r="C15" s="56" t="s">
        <v>71</v>
      </c>
      <c r="D15" s="57" t="s">
        <v>5</v>
      </c>
      <c r="E15" s="58">
        <v>0.3</v>
      </c>
      <c r="F15" s="59">
        <f>TRUNC(8.39,2)</f>
        <v>8.39</v>
      </c>
      <c r="G15" s="60">
        <f>TRUNC(E15*F15,2)</f>
        <v>2.51</v>
      </c>
      <c r="H15" s="61"/>
      <c r="I15" s="61"/>
      <c r="K15" s="63"/>
    </row>
    <row r="16" spans="1:11" s="62" customFormat="1" ht="14.25">
      <c r="A16" s="54"/>
      <c r="B16" s="55" t="s">
        <v>2</v>
      </c>
      <c r="C16" s="56" t="s">
        <v>458</v>
      </c>
      <c r="D16" s="57" t="s">
        <v>3</v>
      </c>
      <c r="E16" s="58">
        <v>9.2</v>
      </c>
      <c r="F16" s="59">
        <f>TRUNC(3.25,2)</f>
        <v>3.25</v>
      </c>
      <c r="G16" s="60">
        <f>TRUNC(E16*F16,2)</f>
        <v>29.9</v>
      </c>
      <c r="H16" s="61"/>
      <c r="I16" s="61"/>
      <c r="K16" s="63"/>
    </row>
    <row r="17" spans="1:11" s="62" customFormat="1" ht="14.25">
      <c r="A17" s="54"/>
      <c r="B17" s="55" t="s">
        <v>209</v>
      </c>
      <c r="C17" s="56" t="s">
        <v>210</v>
      </c>
      <c r="D17" s="57" t="s">
        <v>6</v>
      </c>
      <c r="E17" s="58">
        <v>2.06</v>
      </c>
      <c r="F17" s="59">
        <f>TRUNC(14.47,2)</f>
        <v>14.47</v>
      </c>
      <c r="G17" s="60">
        <f>TRUNC(E17*F17,2)</f>
        <v>29.8</v>
      </c>
      <c r="H17" s="61"/>
      <c r="I17" s="61"/>
      <c r="K17" s="63"/>
    </row>
    <row r="18" spans="1:11" s="62" customFormat="1" ht="14.25">
      <c r="A18" s="54"/>
      <c r="B18" s="55" t="s">
        <v>211</v>
      </c>
      <c r="C18" s="56" t="s">
        <v>212</v>
      </c>
      <c r="D18" s="57" t="s">
        <v>6</v>
      </c>
      <c r="E18" s="58">
        <v>2.06</v>
      </c>
      <c r="F18" s="59">
        <f>TRUNC(21.49,2)</f>
        <v>21.49</v>
      </c>
      <c r="G18" s="60">
        <f>TRUNC(E18*F18,2)</f>
        <v>44.26</v>
      </c>
      <c r="H18" s="61"/>
      <c r="I18" s="61"/>
      <c r="K18" s="63"/>
    </row>
    <row r="19" spans="1:11" s="62" customFormat="1" ht="14.25">
      <c r="A19" s="54"/>
      <c r="B19" s="55"/>
      <c r="C19" s="56"/>
      <c r="D19" s="57"/>
      <c r="E19" s="58" t="s">
        <v>7</v>
      </c>
      <c r="F19" s="59"/>
      <c r="G19" s="60">
        <f>TRUNC(SUM(G14:G18),2)</f>
        <v>175.2</v>
      </c>
      <c r="H19" s="61"/>
      <c r="I19" s="61"/>
      <c r="K19" s="63"/>
    </row>
    <row r="20" spans="1:12" s="115" customFormat="1" ht="57">
      <c r="A20" s="109" t="s">
        <v>9</v>
      </c>
      <c r="B20" s="110" t="s">
        <v>213</v>
      </c>
      <c r="C20" s="96" t="s">
        <v>199</v>
      </c>
      <c r="D20" s="112" t="s">
        <v>0</v>
      </c>
      <c r="E20" s="114">
        <v>110.09</v>
      </c>
      <c r="F20" s="114">
        <f>TRUNC(G26,2)</f>
        <v>17.8</v>
      </c>
      <c r="G20" s="98">
        <f>TRUNC(F20*1.2338,2)</f>
        <v>21.96</v>
      </c>
      <c r="H20" s="99">
        <f>TRUNC(E20*F20,2)</f>
        <v>1959.6</v>
      </c>
      <c r="I20" s="99">
        <f>TRUNC(E20*G20,2)</f>
        <v>2417.57</v>
      </c>
      <c r="K20" s="116"/>
      <c r="L20" s="115">
        <f>73.4*2.2</f>
        <v>161.48000000000002</v>
      </c>
    </row>
    <row r="21" spans="1:11" s="62" customFormat="1" ht="14.25">
      <c r="A21" s="54"/>
      <c r="B21" s="55" t="s">
        <v>200</v>
      </c>
      <c r="C21" s="64" t="s">
        <v>201</v>
      </c>
      <c r="D21" s="57" t="s">
        <v>0</v>
      </c>
      <c r="E21" s="59">
        <v>0.2625</v>
      </c>
      <c r="F21" s="59">
        <f>TRUNC(28.16,2)</f>
        <v>28.16</v>
      </c>
      <c r="G21" s="60">
        <f>TRUNC(E21*F21,2)</f>
        <v>7.39</v>
      </c>
      <c r="H21" s="61"/>
      <c r="I21" s="61"/>
      <c r="K21" s="63"/>
    </row>
    <row r="22" spans="1:11" s="62" customFormat="1" ht="28.5">
      <c r="A22" s="54"/>
      <c r="B22" s="55" t="s">
        <v>4</v>
      </c>
      <c r="C22" s="64" t="s">
        <v>71</v>
      </c>
      <c r="D22" s="57" t="s">
        <v>5</v>
      </c>
      <c r="E22" s="59">
        <v>0.05</v>
      </c>
      <c r="F22" s="59">
        <f>TRUNC(8.39,2)</f>
        <v>8.39</v>
      </c>
      <c r="G22" s="60">
        <f>TRUNC(E22*F22,2)</f>
        <v>0.41</v>
      </c>
      <c r="H22" s="61"/>
      <c r="I22" s="61"/>
      <c r="K22" s="63"/>
    </row>
    <row r="23" spans="1:11" s="62" customFormat="1" ht="14.25">
      <c r="A23" s="54"/>
      <c r="B23" s="55" t="s">
        <v>2</v>
      </c>
      <c r="C23" s="64" t="s">
        <v>458</v>
      </c>
      <c r="D23" s="57" t="s">
        <v>3</v>
      </c>
      <c r="E23" s="59">
        <v>0.8</v>
      </c>
      <c r="F23" s="59">
        <f>TRUNC(3.25,2)</f>
        <v>3.25</v>
      </c>
      <c r="G23" s="60">
        <f>TRUNC(E23*F23,2)</f>
        <v>2.6</v>
      </c>
      <c r="H23" s="61"/>
      <c r="I23" s="61"/>
      <c r="K23" s="63"/>
    </row>
    <row r="24" spans="1:11" s="62" customFormat="1" ht="14.25">
      <c r="A24" s="54"/>
      <c r="B24" s="55" t="s">
        <v>209</v>
      </c>
      <c r="C24" s="64" t="s">
        <v>210</v>
      </c>
      <c r="D24" s="57" t="s">
        <v>6</v>
      </c>
      <c r="E24" s="59">
        <v>0.20600000000000002</v>
      </c>
      <c r="F24" s="59">
        <f>TRUNC(14.47,2)</f>
        <v>14.47</v>
      </c>
      <c r="G24" s="60">
        <f>TRUNC(E24*F24,2)</f>
        <v>2.98</v>
      </c>
      <c r="H24" s="61"/>
      <c r="I24" s="61"/>
      <c r="K24" s="63"/>
    </row>
    <row r="25" spans="1:11" s="62" customFormat="1" ht="14.25">
      <c r="A25" s="54"/>
      <c r="B25" s="55" t="s">
        <v>211</v>
      </c>
      <c r="C25" s="64" t="s">
        <v>212</v>
      </c>
      <c r="D25" s="57" t="s">
        <v>6</v>
      </c>
      <c r="E25" s="59">
        <v>0.20600000000000002</v>
      </c>
      <c r="F25" s="59">
        <f>TRUNC(21.49,2)</f>
        <v>21.49</v>
      </c>
      <c r="G25" s="60">
        <f>TRUNC(E25*F25,2)</f>
        <v>4.42</v>
      </c>
      <c r="H25" s="61"/>
      <c r="I25" s="61"/>
      <c r="K25" s="63"/>
    </row>
    <row r="26" spans="1:11" s="62" customFormat="1" ht="14.25">
      <c r="A26" s="54"/>
      <c r="B26" s="55"/>
      <c r="C26" s="64"/>
      <c r="D26" s="57"/>
      <c r="E26" s="59" t="s">
        <v>7</v>
      </c>
      <c r="F26" s="59"/>
      <c r="G26" s="60">
        <f>TRUNC(SUM(G21:G25),2)</f>
        <v>17.8</v>
      </c>
      <c r="H26" s="61"/>
      <c r="I26" s="61"/>
      <c r="K26" s="63"/>
    </row>
    <row r="27" spans="1:11" s="115" customFormat="1" ht="57">
      <c r="A27" s="109" t="s">
        <v>10</v>
      </c>
      <c r="B27" s="110" t="s">
        <v>214</v>
      </c>
      <c r="C27" s="96" t="s">
        <v>145</v>
      </c>
      <c r="D27" s="112" t="s">
        <v>0</v>
      </c>
      <c r="E27" s="114">
        <v>8</v>
      </c>
      <c r="F27" s="114">
        <f>TRUNC(G45,2)</f>
        <v>369.34</v>
      </c>
      <c r="G27" s="98">
        <f>TRUNC(F27*1.2338,2)</f>
        <v>455.69</v>
      </c>
      <c r="H27" s="99">
        <f>TRUNC(E27*F27,2)</f>
        <v>2954.72</v>
      </c>
      <c r="I27" s="99">
        <f>TRUNC(E27*G27,2)</f>
        <v>3645.52</v>
      </c>
      <c r="K27" s="116"/>
    </row>
    <row r="28" spans="1:11" s="62" customFormat="1" ht="14.25">
      <c r="A28" s="54"/>
      <c r="B28" s="55" t="s">
        <v>151</v>
      </c>
      <c r="C28" s="64" t="s">
        <v>79</v>
      </c>
      <c r="D28" s="57" t="s">
        <v>12</v>
      </c>
      <c r="E28" s="59">
        <v>0.0808</v>
      </c>
      <c r="F28" s="59">
        <f>TRUNC(5.64,2)</f>
        <v>5.64</v>
      </c>
      <c r="G28" s="60">
        <f aca="true" t="shared" si="0" ref="G28:G44">TRUNC(E28*F28,2)</f>
        <v>0.45</v>
      </c>
      <c r="H28" s="61"/>
      <c r="I28" s="61"/>
      <c r="K28" s="63"/>
    </row>
    <row r="29" spans="1:11" s="62" customFormat="1" ht="14.25">
      <c r="A29" s="54"/>
      <c r="B29" s="55" t="s">
        <v>156</v>
      </c>
      <c r="C29" s="64" t="s">
        <v>82</v>
      </c>
      <c r="D29" s="57" t="s">
        <v>12</v>
      </c>
      <c r="E29" s="59">
        <v>0.0808</v>
      </c>
      <c r="F29" s="59">
        <f>TRUNC(3.1,2)</f>
        <v>3.1</v>
      </c>
      <c r="G29" s="60">
        <f t="shared" si="0"/>
        <v>0.25</v>
      </c>
      <c r="H29" s="61"/>
      <c r="I29" s="61"/>
      <c r="K29" s="63"/>
    </row>
    <row r="30" spans="1:11" s="62" customFormat="1" ht="14.25">
      <c r="A30" s="54"/>
      <c r="B30" s="55" t="s">
        <v>155</v>
      </c>
      <c r="C30" s="64" t="s">
        <v>641</v>
      </c>
      <c r="D30" s="57" t="s">
        <v>12</v>
      </c>
      <c r="E30" s="59">
        <v>0.08</v>
      </c>
      <c r="F30" s="59">
        <f>TRUNC(3.6,2)</f>
        <v>3.6</v>
      </c>
      <c r="G30" s="60">
        <f t="shared" si="0"/>
        <v>0.28</v>
      </c>
      <c r="H30" s="61"/>
      <c r="I30" s="61"/>
      <c r="K30" s="63"/>
    </row>
    <row r="31" spans="1:11" s="62" customFormat="1" ht="28.5">
      <c r="A31" s="54"/>
      <c r="B31" s="55" t="s">
        <v>146</v>
      </c>
      <c r="C31" s="64" t="s">
        <v>147</v>
      </c>
      <c r="D31" s="57" t="s">
        <v>12</v>
      </c>
      <c r="E31" s="59">
        <v>0.06</v>
      </c>
      <c r="F31" s="59">
        <f>TRUNC(7.72,2)</f>
        <v>7.72</v>
      </c>
      <c r="G31" s="60">
        <f t="shared" si="0"/>
        <v>0.46</v>
      </c>
      <c r="H31" s="61"/>
      <c r="I31" s="61"/>
      <c r="K31" s="63"/>
    </row>
    <row r="32" spans="1:11" s="62" customFormat="1" ht="14.25">
      <c r="A32" s="54"/>
      <c r="B32" s="55" t="s">
        <v>154</v>
      </c>
      <c r="C32" s="64" t="s">
        <v>642</v>
      </c>
      <c r="D32" s="57" t="s">
        <v>12</v>
      </c>
      <c r="E32" s="59">
        <v>0.17</v>
      </c>
      <c r="F32" s="59">
        <f>TRUNC(19.9,2)</f>
        <v>19.9</v>
      </c>
      <c r="G32" s="60">
        <f t="shared" si="0"/>
        <v>3.38</v>
      </c>
      <c r="H32" s="61"/>
      <c r="I32" s="61"/>
      <c r="K32" s="63"/>
    </row>
    <row r="33" spans="1:11" s="62" customFormat="1" ht="14.25">
      <c r="A33" s="54"/>
      <c r="B33" s="55" t="s">
        <v>159</v>
      </c>
      <c r="C33" s="64" t="s">
        <v>160</v>
      </c>
      <c r="D33" s="57" t="s">
        <v>12</v>
      </c>
      <c r="E33" s="59">
        <v>0.0202</v>
      </c>
      <c r="F33" s="59">
        <f>TRUNC(8.56,2)</f>
        <v>8.56</v>
      </c>
      <c r="G33" s="60">
        <f t="shared" si="0"/>
        <v>0.17</v>
      </c>
      <c r="H33" s="61"/>
      <c r="I33" s="61"/>
      <c r="K33" s="63"/>
    </row>
    <row r="34" spans="1:11" s="62" customFormat="1" ht="14.25">
      <c r="A34" s="54"/>
      <c r="B34" s="55" t="s">
        <v>152</v>
      </c>
      <c r="C34" s="64" t="s">
        <v>78</v>
      </c>
      <c r="D34" s="57" t="s">
        <v>3</v>
      </c>
      <c r="E34" s="59">
        <v>0.505</v>
      </c>
      <c r="F34" s="59">
        <f>TRUNC(1.9094,2)</f>
        <v>1.9</v>
      </c>
      <c r="G34" s="60">
        <f t="shared" si="0"/>
        <v>0.95</v>
      </c>
      <c r="H34" s="61"/>
      <c r="I34" s="61"/>
      <c r="K34" s="63"/>
    </row>
    <row r="35" spans="1:11" s="62" customFormat="1" ht="28.5">
      <c r="A35" s="54"/>
      <c r="B35" s="55" t="s">
        <v>157</v>
      </c>
      <c r="C35" s="64" t="s">
        <v>158</v>
      </c>
      <c r="D35" s="57" t="s">
        <v>12</v>
      </c>
      <c r="E35" s="59">
        <v>0.275</v>
      </c>
      <c r="F35" s="59">
        <f>TRUNC(41.92,2)</f>
        <v>41.92</v>
      </c>
      <c r="G35" s="60">
        <f t="shared" si="0"/>
        <v>11.52</v>
      </c>
      <c r="H35" s="61"/>
      <c r="I35" s="61"/>
      <c r="K35" s="63"/>
    </row>
    <row r="36" spans="1:11" s="62" customFormat="1" ht="14.25">
      <c r="A36" s="54"/>
      <c r="B36" s="55" t="s">
        <v>2</v>
      </c>
      <c r="C36" s="64" t="s">
        <v>458</v>
      </c>
      <c r="D36" s="57" t="s">
        <v>3</v>
      </c>
      <c r="E36" s="59">
        <v>2</v>
      </c>
      <c r="F36" s="59">
        <f>TRUNC(3.25,2)</f>
        <v>3.25</v>
      </c>
      <c r="G36" s="60">
        <f t="shared" si="0"/>
        <v>6.5</v>
      </c>
      <c r="H36" s="61"/>
      <c r="I36" s="61"/>
      <c r="K36" s="63"/>
    </row>
    <row r="37" spans="1:11" s="62" customFormat="1" ht="14.25">
      <c r="A37" s="54"/>
      <c r="B37" s="55" t="s">
        <v>153</v>
      </c>
      <c r="C37" s="64" t="s">
        <v>80</v>
      </c>
      <c r="D37" s="57" t="s">
        <v>12</v>
      </c>
      <c r="E37" s="59">
        <v>0.95</v>
      </c>
      <c r="F37" s="59">
        <f>TRUNC(1.01,2)</f>
        <v>1.01</v>
      </c>
      <c r="G37" s="60">
        <f t="shared" si="0"/>
        <v>0.95</v>
      </c>
      <c r="H37" s="61"/>
      <c r="I37" s="61"/>
      <c r="K37" s="63"/>
    </row>
    <row r="38" spans="1:11" s="62" customFormat="1" ht="28.5">
      <c r="A38" s="54"/>
      <c r="B38" s="55" t="s">
        <v>4</v>
      </c>
      <c r="C38" s="64" t="s">
        <v>71</v>
      </c>
      <c r="D38" s="57" t="s">
        <v>5</v>
      </c>
      <c r="E38" s="59">
        <v>0.12</v>
      </c>
      <c r="F38" s="59">
        <f>TRUNC(8.39,2)</f>
        <v>8.39</v>
      </c>
      <c r="G38" s="60">
        <f t="shared" si="0"/>
        <v>1</v>
      </c>
      <c r="H38" s="61"/>
      <c r="I38" s="61"/>
      <c r="K38" s="63"/>
    </row>
    <row r="39" spans="1:11" s="62" customFormat="1" ht="14.25">
      <c r="A39" s="54"/>
      <c r="B39" s="55" t="s">
        <v>150</v>
      </c>
      <c r="C39" s="64" t="s">
        <v>81</v>
      </c>
      <c r="D39" s="57" t="s">
        <v>0</v>
      </c>
      <c r="E39" s="59">
        <v>0.06</v>
      </c>
      <c r="F39" s="59">
        <f>TRUNC(38,2)</f>
        <v>38</v>
      </c>
      <c r="G39" s="60">
        <f t="shared" si="0"/>
        <v>2.28</v>
      </c>
      <c r="H39" s="61"/>
      <c r="I39" s="61"/>
      <c r="K39" s="63"/>
    </row>
    <row r="40" spans="1:11" s="62" customFormat="1" ht="14.25">
      <c r="A40" s="54"/>
      <c r="B40" s="55" t="s">
        <v>148</v>
      </c>
      <c r="C40" s="64" t="s">
        <v>149</v>
      </c>
      <c r="D40" s="57" t="s">
        <v>12</v>
      </c>
      <c r="E40" s="59">
        <v>0.17170000000000002</v>
      </c>
      <c r="F40" s="59">
        <f>TRUNC(2.2,2)</f>
        <v>2.2</v>
      </c>
      <c r="G40" s="60">
        <f t="shared" si="0"/>
        <v>0.37</v>
      </c>
      <c r="H40" s="61"/>
      <c r="I40" s="61"/>
      <c r="K40" s="63"/>
    </row>
    <row r="41" spans="1:11" s="62" customFormat="1" ht="14.25">
      <c r="A41" s="54"/>
      <c r="B41" s="55" t="s">
        <v>211</v>
      </c>
      <c r="C41" s="64" t="s">
        <v>212</v>
      </c>
      <c r="D41" s="57" t="s">
        <v>6</v>
      </c>
      <c r="E41" s="59">
        <v>8.137</v>
      </c>
      <c r="F41" s="59">
        <f>TRUNC(21.49,2)</f>
        <v>21.49</v>
      </c>
      <c r="G41" s="60">
        <f t="shared" si="0"/>
        <v>174.86</v>
      </c>
      <c r="H41" s="61"/>
      <c r="I41" s="61"/>
      <c r="K41" s="63"/>
    </row>
    <row r="42" spans="1:11" s="62" customFormat="1" ht="14.25">
      <c r="A42" s="54"/>
      <c r="B42" s="55" t="s">
        <v>209</v>
      </c>
      <c r="C42" s="64" t="s">
        <v>210</v>
      </c>
      <c r="D42" s="57" t="s">
        <v>6</v>
      </c>
      <c r="E42" s="59">
        <v>8.549000000000001</v>
      </c>
      <c r="F42" s="59">
        <f>TRUNC(14.47,2)</f>
        <v>14.47</v>
      </c>
      <c r="G42" s="60">
        <f t="shared" si="0"/>
        <v>123.7</v>
      </c>
      <c r="H42" s="61"/>
      <c r="I42" s="61"/>
      <c r="K42" s="63"/>
    </row>
    <row r="43" spans="1:11" s="62" customFormat="1" ht="14.25">
      <c r="A43" s="54"/>
      <c r="B43" s="55" t="s">
        <v>215</v>
      </c>
      <c r="C43" s="64" t="s">
        <v>216</v>
      </c>
      <c r="D43" s="57" t="s">
        <v>6</v>
      </c>
      <c r="E43" s="59">
        <v>0.41200000000000003</v>
      </c>
      <c r="F43" s="59">
        <f>TRUNC(19.97,2)</f>
        <v>19.97</v>
      </c>
      <c r="G43" s="60">
        <f t="shared" si="0"/>
        <v>8.22</v>
      </c>
      <c r="H43" s="61"/>
      <c r="I43" s="61"/>
      <c r="K43" s="63"/>
    </row>
    <row r="44" spans="1:11" s="62" customFormat="1" ht="14.25">
      <c r="A44" s="54"/>
      <c r="B44" s="55" t="s">
        <v>217</v>
      </c>
      <c r="C44" s="64" t="s">
        <v>578</v>
      </c>
      <c r="D44" s="57" t="s">
        <v>0</v>
      </c>
      <c r="E44" s="59">
        <v>1.65</v>
      </c>
      <c r="F44" s="59">
        <f>TRUNC(20.6164,2)</f>
        <v>20.61</v>
      </c>
      <c r="G44" s="60">
        <f t="shared" si="0"/>
        <v>34</v>
      </c>
      <c r="H44" s="61"/>
      <c r="I44" s="61"/>
      <c r="K44" s="63"/>
    </row>
    <row r="45" spans="1:11" s="62" customFormat="1" ht="14.25">
      <c r="A45" s="54"/>
      <c r="B45" s="55"/>
      <c r="C45" s="64"/>
      <c r="D45" s="57"/>
      <c r="E45" s="59" t="s">
        <v>7</v>
      </c>
      <c r="F45" s="59"/>
      <c r="G45" s="60">
        <f>TRUNC(SUM(G28:G44),2)</f>
        <v>369.34</v>
      </c>
      <c r="H45" s="61"/>
      <c r="I45" s="61"/>
      <c r="K45" s="63"/>
    </row>
    <row r="46" spans="1:11" s="115" customFormat="1" ht="14.25">
      <c r="A46" s="109" t="s">
        <v>11</v>
      </c>
      <c r="B46" s="110" t="s">
        <v>488</v>
      </c>
      <c r="C46" s="96" t="s">
        <v>490</v>
      </c>
      <c r="D46" s="112" t="s">
        <v>12</v>
      </c>
      <c r="E46" s="114">
        <v>1</v>
      </c>
      <c r="F46" s="114">
        <f>TRUNC(G66,2)</f>
        <v>1501.06</v>
      </c>
      <c r="G46" s="98">
        <f>TRUNC(F46*1.2338,2)</f>
        <v>1852</v>
      </c>
      <c r="H46" s="99">
        <f>TRUNC(E46*F46,2)</f>
        <v>1501.06</v>
      </c>
      <c r="I46" s="99">
        <f>TRUNC(E46*G46,2)</f>
        <v>1852</v>
      </c>
      <c r="K46" s="116"/>
    </row>
    <row r="47" spans="1:11" s="62" customFormat="1" ht="14.25">
      <c r="A47" s="104"/>
      <c r="B47" s="103" t="s">
        <v>554</v>
      </c>
      <c r="C47" s="102" t="s">
        <v>353</v>
      </c>
      <c r="D47" s="57" t="s">
        <v>12</v>
      </c>
      <c r="E47" s="59">
        <v>1</v>
      </c>
      <c r="F47" s="59">
        <f>TRUNC(73.5,2)</f>
        <v>73.5</v>
      </c>
      <c r="G47" s="60">
        <f aca="true" t="shared" si="1" ref="G47:G65">TRUNC(E47*F47,2)</f>
        <v>73.5</v>
      </c>
      <c r="H47" s="61"/>
      <c r="I47" s="61"/>
      <c r="K47" s="63"/>
    </row>
    <row r="48" spans="1:11" s="62" customFormat="1" ht="14.25">
      <c r="A48" s="54"/>
      <c r="B48" s="55" t="s">
        <v>555</v>
      </c>
      <c r="C48" s="64" t="s">
        <v>508</v>
      </c>
      <c r="D48" s="57" t="s">
        <v>12</v>
      </c>
      <c r="E48" s="59">
        <v>0.1333333</v>
      </c>
      <c r="F48" s="59">
        <f>TRUNC(58.59,2)</f>
        <v>58.59</v>
      </c>
      <c r="G48" s="60">
        <f t="shared" si="1"/>
        <v>7.81</v>
      </c>
      <c r="H48" s="61"/>
      <c r="I48" s="61"/>
      <c r="K48" s="63"/>
    </row>
    <row r="49" spans="1:11" s="62" customFormat="1" ht="28.5">
      <c r="A49" s="54"/>
      <c r="B49" s="55" t="s">
        <v>556</v>
      </c>
      <c r="C49" s="64" t="s">
        <v>494</v>
      </c>
      <c r="D49" s="57" t="s">
        <v>12</v>
      </c>
      <c r="E49" s="59">
        <v>2</v>
      </c>
      <c r="F49" s="59">
        <f>TRUNC(20.75,2)</f>
        <v>20.75</v>
      </c>
      <c r="G49" s="60">
        <f t="shared" si="1"/>
        <v>41.5</v>
      </c>
      <c r="H49" s="61"/>
      <c r="I49" s="61"/>
      <c r="K49" s="63"/>
    </row>
    <row r="50" spans="1:11" s="62" customFormat="1" ht="14.25">
      <c r="A50" s="54"/>
      <c r="B50" s="55" t="s">
        <v>557</v>
      </c>
      <c r="C50" s="64" t="s">
        <v>496</v>
      </c>
      <c r="D50" s="57" t="s">
        <v>3</v>
      </c>
      <c r="E50" s="59">
        <v>3</v>
      </c>
      <c r="F50" s="59">
        <f>TRUNC(7.6,2)</f>
        <v>7.6</v>
      </c>
      <c r="G50" s="60">
        <f t="shared" si="1"/>
        <v>22.8</v>
      </c>
      <c r="H50" s="61"/>
      <c r="I50" s="61"/>
      <c r="K50" s="63"/>
    </row>
    <row r="51" spans="1:11" s="62" customFormat="1" ht="28.5">
      <c r="A51" s="54"/>
      <c r="B51" s="55" t="s">
        <v>558</v>
      </c>
      <c r="C51" s="64" t="s">
        <v>498</v>
      </c>
      <c r="D51" s="57" t="s">
        <v>3</v>
      </c>
      <c r="E51" s="59">
        <v>27</v>
      </c>
      <c r="F51" s="59">
        <f>TRUNC(5.5,2)</f>
        <v>5.5</v>
      </c>
      <c r="G51" s="60">
        <f t="shared" si="1"/>
        <v>148.5</v>
      </c>
      <c r="H51" s="61"/>
      <c r="I51" s="61"/>
      <c r="K51" s="63"/>
    </row>
    <row r="52" spans="1:11" s="62" customFormat="1" ht="28.5">
      <c r="A52" s="54"/>
      <c r="B52" s="55" t="s">
        <v>559</v>
      </c>
      <c r="C52" s="64" t="s">
        <v>500</v>
      </c>
      <c r="D52" s="57" t="s">
        <v>12</v>
      </c>
      <c r="E52" s="59">
        <v>1</v>
      </c>
      <c r="F52" s="59">
        <f>TRUNC(91.25,2)</f>
        <v>91.25</v>
      </c>
      <c r="G52" s="60">
        <f t="shared" si="1"/>
        <v>91.25</v>
      </c>
      <c r="H52" s="61"/>
      <c r="I52" s="61"/>
      <c r="K52" s="63"/>
    </row>
    <row r="53" spans="1:11" s="62" customFormat="1" ht="28.5">
      <c r="A53" s="54"/>
      <c r="B53" s="55" t="s">
        <v>560</v>
      </c>
      <c r="C53" s="64" t="s">
        <v>502</v>
      </c>
      <c r="D53" s="57" t="s">
        <v>12</v>
      </c>
      <c r="E53" s="59">
        <v>2</v>
      </c>
      <c r="F53" s="59">
        <f>TRUNC(68.88,2)</f>
        <v>68.88</v>
      </c>
      <c r="G53" s="60">
        <f t="shared" si="1"/>
        <v>137.76</v>
      </c>
      <c r="H53" s="61"/>
      <c r="I53" s="61"/>
      <c r="K53" s="63"/>
    </row>
    <row r="54" spans="1:11" s="62" customFormat="1" ht="14.25">
      <c r="A54" s="54"/>
      <c r="B54" s="55" t="s">
        <v>561</v>
      </c>
      <c r="C54" s="64" t="s">
        <v>506</v>
      </c>
      <c r="D54" s="57" t="s">
        <v>12</v>
      </c>
      <c r="E54" s="59">
        <v>4</v>
      </c>
      <c r="F54" s="59">
        <f>TRUNC(1.32,2)</f>
        <v>1.32</v>
      </c>
      <c r="G54" s="60">
        <f t="shared" si="1"/>
        <v>5.28</v>
      </c>
      <c r="H54" s="61"/>
      <c r="I54" s="61"/>
      <c r="K54" s="63"/>
    </row>
    <row r="55" spans="1:11" s="62" customFormat="1" ht="14.25">
      <c r="A55" s="54"/>
      <c r="B55" s="55" t="s">
        <v>562</v>
      </c>
      <c r="C55" s="64" t="s">
        <v>522</v>
      </c>
      <c r="D55" s="57" t="s">
        <v>12</v>
      </c>
      <c r="E55" s="59">
        <v>2</v>
      </c>
      <c r="F55" s="59">
        <f>TRUNC(0.69,2)</f>
        <v>0.69</v>
      </c>
      <c r="G55" s="60">
        <f t="shared" si="1"/>
        <v>1.38</v>
      </c>
      <c r="H55" s="61"/>
      <c r="I55" s="61"/>
      <c r="K55" s="63"/>
    </row>
    <row r="56" spans="1:11" s="62" customFormat="1" ht="14.25">
      <c r="A56" s="54"/>
      <c r="B56" s="55" t="s">
        <v>563</v>
      </c>
      <c r="C56" s="64" t="s">
        <v>510</v>
      </c>
      <c r="D56" s="57" t="s">
        <v>3</v>
      </c>
      <c r="E56" s="59">
        <v>8</v>
      </c>
      <c r="F56" s="59">
        <f>TRUNC(4.9,2)</f>
        <v>4.9</v>
      </c>
      <c r="G56" s="60">
        <f t="shared" si="1"/>
        <v>39.2</v>
      </c>
      <c r="H56" s="61"/>
      <c r="I56" s="61"/>
      <c r="K56" s="63"/>
    </row>
    <row r="57" spans="1:11" s="62" customFormat="1" ht="28.5">
      <c r="A57" s="54"/>
      <c r="B57" s="55" t="s">
        <v>564</v>
      </c>
      <c r="C57" s="64" t="s">
        <v>492</v>
      </c>
      <c r="D57" s="57" t="s">
        <v>3</v>
      </c>
      <c r="E57" s="59">
        <v>7.96</v>
      </c>
      <c r="F57" s="59">
        <f>TRUNC(54.47,2)</f>
        <v>54.47</v>
      </c>
      <c r="G57" s="60">
        <f t="shared" si="1"/>
        <v>433.58</v>
      </c>
      <c r="H57" s="61"/>
      <c r="I57" s="61"/>
      <c r="K57" s="63"/>
    </row>
    <row r="58" spans="1:11" s="62" customFormat="1" ht="28.5">
      <c r="A58" s="54"/>
      <c r="B58" s="55" t="s">
        <v>565</v>
      </c>
      <c r="C58" s="64" t="s">
        <v>512</v>
      </c>
      <c r="D58" s="57" t="s">
        <v>12</v>
      </c>
      <c r="E58" s="59">
        <v>1</v>
      </c>
      <c r="F58" s="59">
        <f>TRUNC(37.94,2)</f>
        <v>37.94</v>
      </c>
      <c r="G58" s="60">
        <f t="shared" si="1"/>
        <v>37.94</v>
      </c>
      <c r="H58" s="61"/>
      <c r="I58" s="61"/>
      <c r="K58" s="63"/>
    </row>
    <row r="59" spans="1:11" s="62" customFormat="1" ht="28.5">
      <c r="A59" s="54"/>
      <c r="B59" s="55" t="s">
        <v>566</v>
      </c>
      <c r="C59" s="64" t="s">
        <v>514</v>
      </c>
      <c r="D59" s="57" t="s">
        <v>12</v>
      </c>
      <c r="E59" s="59">
        <v>2</v>
      </c>
      <c r="F59" s="59">
        <f>TRUNC(7.03,2)</f>
        <v>7.03</v>
      </c>
      <c r="G59" s="60">
        <f t="shared" si="1"/>
        <v>14.06</v>
      </c>
      <c r="H59" s="61"/>
      <c r="I59" s="61"/>
      <c r="K59" s="63"/>
    </row>
    <row r="60" spans="1:11" s="62" customFormat="1" ht="28.5">
      <c r="A60" s="54"/>
      <c r="B60" s="55" t="s">
        <v>567</v>
      </c>
      <c r="C60" s="64" t="s">
        <v>516</v>
      </c>
      <c r="D60" s="57" t="s">
        <v>12</v>
      </c>
      <c r="E60" s="59">
        <v>2</v>
      </c>
      <c r="F60" s="59">
        <f>TRUNC(7.27,2)</f>
        <v>7.27</v>
      </c>
      <c r="G60" s="60">
        <f t="shared" si="1"/>
        <v>14.54</v>
      </c>
      <c r="H60" s="61"/>
      <c r="I60" s="61"/>
      <c r="K60" s="63"/>
    </row>
    <row r="61" spans="1:11" s="62" customFormat="1" ht="14.25">
      <c r="A61" s="54"/>
      <c r="B61" s="55" t="s">
        <v>568</v>
      </c>
      <c r="C61" s="64" t="s">
        <v>518</v>
      </c>
      <c r="D61" s="57" t="s">
        <v>12</v>
      </c>
      <c r="E61" s="59">
        <v>2</v>
      </c>
      <c r="F61" s="59">
        <f>TRUNC(3.73,2)</f>
        <v>3.73</v>
      </c>
      <c r="G61" s="60">
        <f t="shared" si="1"/>
        <v>7.46</v>
      </c>
      <c r="H61" s="61"/>
      <c r="I61" s="61"/>
      <c r="K61" s="63"/>
    </row>
    <row r="62" spans="1:11" s="62" customFormat="1" ht="14.25">
      <c r="A62" s="54"/>
      <c r="B62" s="55" t="s">
        <v>569</v>
      </c>
      <c r="C62" s="64" t="s">
        <v>520</v>
      </c>
      <c r="D62" s="57" t="s">
        <v>12</v>
      </c>
      <c r="E62" s="59">
        <v>2</v>
      </c>
      <c r="F62" s="59">
        <f>TRUNC(0.93,2)</f>
        <v>0.93</v>
      </c>
      <c r="G62" s="60">
        <f t="shared" si="1"/>
        <v>1.86</v>
      </c>
      <c r="H62" s="61"/>
      <c r="I62" s="61"/>
      <c r="K62" s="63"/>
    </row>
    <row r="63" spans="1:11" s="62" customFormat="1" ht="14.25">
      <c r="A63" s="54"/>
      <c r="B63" s="55" t="s">
        <v>570</v>
      </c>
      <c r="C63" s="64" t="s">
        <v>504</v>
      </c>
      <c r="D63" s="57" t="s">
        <v>12</v>
      </c>
      <c r="E63" s="59">
        <v>8</v>
      </c>
      <c r="F63" s="59">
        <f>TRUNC(4.61,2)</f>
        <v>4.61</v>
      </c>
      <c r="G63" s="60">
        <f t="shared" si="1"/>
        <v>36.88</v>
      </c>
      <c r="H63" s="61"/>
      <c r="I63" s="61"/>
      <c r="K63" s="63"/>
    </row>
    <row r="64" spans="1:11" s="62" customFormat="1" ht="14.25">
      <c r="A64" s="54"/>
      <c r="B64" s="55" t="s">
        <v>571</v>
      </c>
      <c r="C64" s="64" t="s">
        <v>340</v>
      </c>
      <c r="D64" s="57" t="s">
        <v>6</v>
      </c>
      <c r="E64" s="59">
        <v>8</v>
      </c>
      <c r="F64" s="59">
        <f>TRUNC(26.97,2)</f>
        <v>26.97</v>
      </c>
      <c r="G64" s="60">
        <f t="shared" si="1"/>
        <v>215.76</v>
      </c>
      <c r="H64" s="61"/>
      <c r="I64" s="61"/>
      <c r="K64" s="63"/>
    </row>
    <row r="65" spans="1:11" s="62" customFormat="1" ht="14.25">
      <c r="A65" s="54"/>
      <c r="B65" s="55" t="s">
        <v>138</v>
      </c>
      <c r="C65" s="64" t="s">
        <v>139</v>
      </c>
      <c r="D65" s="57" t="s">
        <v>6</v>
      </c>
      <c r="E65" s="59">
        <v>8</v>
      </c>
      <c r="F65" s="59">
        <f>TRUNC(21.25,2)</f>
        <v>21.25</v>
      </c>
      <c r="G65" s="60">
        <f t="shared" si="1"/>
        <v>170</v>
      </c>
      <c r="H65" s="61"/>
      <c r="I65" s="61"/>
      <c r="K65" s="63"/>
    </row>
    <row r="66" spans="1:11" s="62" customFormat="1" ht="14.25">
      <c r="A66" s="54"/>
      <c r="B66" s="55"/>
      <c r="C66" s="64"/>
      <c r="D66" s="57"/>
      <c r="E66" s="59" t="s">
        <v>7</v>
      </c>
      <c r="F66" s="59"/>
      <c r="G66" s="60">
        <f>TRUNC(SUM(G47:G65),2)</f>
        <v>1501.06</v>
      </c>
      <c r="H66" s="61"/>
      <c r="I66" s="61"/>
      <c r="K66" s="63"/>
    </row>
    <row r="67" spans="1:11" s="115" customFormat="1" ht="42.75">
      <c r="A67" s="109" t="s">
        <v>275</v>
      </c>
      <c r="B67" s="110" t="s">
        <v>523</v>
      </c>
      <c r="C67" s="96" t="s">
        <v>525</v>
      </c>
      <c r="D67" s="112" t="s">
        <v>12</v>
      </c>
      <c r="E67" s="114">
        <v>1</v>
      </c>
      <c r="F67" s="114">
        <f>TRUNC(G84,2)</f>
        <v>3008.86</v>
      </c>
      <c r="G67" s="98">
        <f>TRUNC(F67*1.2338,2)</f>
        <v>3712.33</v>
      </c>
      <c r="H67" s="99">
        <f>TRUNC(E67*F67,2)</f>
        <v>3008.86</v>
      </c>
      <c r="I67" s="99">
        <f>TRUNC(E67*G67,2)</f>
        <v>3712.33</v>
      </c>
      <c r="K67" s="116"/>
    </row>
    <row r="68" spans="1:11" s="62" customFormat="1" ht="14.25">
      <c r="A68" s="104"/>
      <c r="B68" s="103" t="s">
        <v>532</v>
      </c>
      <c r="C68" s="102" t="s">
        <v>533</v>
      </c>
      <c r="D68" s="57" t="s">
        <v>3</v>
      </c>
      <c r="E68" s="59">
        <v>3.44</v>
      </c>
      <c r="F68" s="59">
        <f>TRUNC(9.96,2)</f>
        <v>9.96</v>
      </c>
      <c r="G68" s="60">
        <f aca="true" t="shared" si="2" ref="G68:G83">TRUNC(E68*F68,2)</f>
        <v>34.26</v>
      </c>
      <c r="H68" s="61"/>
      <c r="I68" s="61"/>
      <c r="K68" s="63"/>
    </row>
    <row r="69" spans="1:11" s="62" customFormat="1" ht="14.25">
      <c r="A69" s="54"/>
      <c r="B69" s="55" t="s">
        <v>2</v>
      </c>
      <c r="C69" s="64" t="s">
        <v>458</v>
      </c>
      <c r="D69" s="57" t="s">
        <v>3</v>
      </c>
      <c r="E69" s="59">
        <v>25</v>
      </c>
      <c r="F69" s="59">
        <f>TRUNC(3.25,2)</f>
        <v>3.25</v>
      </c>
      <c r="G69" s="60">
        <f t="shared" si="2"/>
        <v>81.25</v>
      </c>
      <c r="H69" s="61"/>
      <c r="I69" s="61"/>
      <c r="K69" s="63"/>
    </row>
    <row r="70" spans="1:11" s="62" customFormat="1" ht="28.5">
      <c r="A70" s="54"/>
      <c r="B70" s="55" t="s">
        <v>4</v>
      </c>
      <c r="C70" s="64" t="s">
        <v>71</v>
      </c>
      <c r="D70" s="57" t="s">
        <v>5</v>
      </c>
      <c r="E70" s="59">
        <v>1</v>
      </c>
      <c r="F70" s="59">
        <f>TRUNC(8.39,2)</f>
        <v>8.39</v>
      </c>
      <c r="G70" s="60">
        <f t="shared" si="2"/>
        <v>8.39</v>
      </c>
      <c r="H70" s="61"/>
      <c r="I70" s="61"/>
      <c r="K70" s="63"/>
    </row>
    <row r="71" spans="1:11" s="62" customFormat="1" ht="14.25">
      <c r="A71" s="54"/>
      <c r="B71" s="55" t="s">
        <v>419</v>
      </c>
      <c r="C71" s="64" t="s">
        <v>420</v>
      </c>
      <c r="D71" s="57" t="s">
        <v>12</v>
      </c>
      <c r="E71" s="59">
        <v>30</v>
      </c>
      <c r="F71" s="59">
        <f>TRUNC(0.49,2)</f>
        <v>0.49</v>
      </c>
      <c r="G71" s="60">
        <f t="shared" si="2"/>
        <v>14.7</v>
      </c>
      <c r="H71" s="61"/>
      <c r="I71" s="61"/>
      <c r="K71" s="63"/>
    </row>
    <row r="72" spans="1:11" s="62" customFormat="1" ht="14.25">
      <c r="A72" s="54"/>
      <c r="B72" s="55" t="s">
        <v>530</v>
      </c>
      <c r="C72" s="64" t="s">
        <v>531</v>
      </c>
      <c r="D72" s="57" t="s">
        <v>3</v>
      </c>
      <c r="E72" s="59">
        <v>30</v>
      </c>
      <c r="F72" s="59">
        <f>TRUNC(15.78,2)</f>
        <v>15.78</v>
      </c>
      <c r="G72" s="60">
        <f t="shared" si="2"/>
        <v>473.4</v>
      </c>
      <c r="H72" s="61"/>
      <c r="I72" s="61"/>
      <c r="K72" s="63"/>
    </row>
    <row r="73" spans="1:11" s="62" customFormat="1" ht="14.25">
      <c r="A73" s="54"/>
      <c r="B73" s="55" t="s">
        <v>534</v>
      </c>
      <c r="C73" s="64" t="s">
        <v>535</v>
      </c>
      <c r="D73" s="57" t="s">
        <v>12</v>
      </c>
      <c r="E73" s="59">
        <v>1</v>
      </c>
      <c r="F73" s="59">
        <f>TRUNC(234.78,2)</f>
        <v>234.78</v>
      </c>
      <c r="G73" s="60">
        <f t="shared" si="2"/>
        <v>234.78</v>
      </c>
      <c r="H73" s="61"/>
      <c r="I73" s="61"/>
      <c r="K73" s="63"/>
    </row>
    <row r="74" spans="1:11" s="62" customFormat="1" ht="14.25">
      <c r="A74" s="54"/>
      <c r="B74" s="55" t="s">
        <v>526</v>
      </c>
      <c r="C74" s="64" t="s">
        <v>527</v>
      </c>
      <c r="D74" s="57" t="s">
        <v>12</v>
      </c>
      <c r="E74" s="59">
        <v>1</v>
      </c>
      <c r="F74" s="59">
        <f>TRUNC(10.4,2)</f>
        <v>10.4</v>
      </c>
      <c r="G74" s="60">
        <f t="shared" si="2"/>
        <v>10.4</v>
      </c>
      <c r="H74" s="61"/>
      <c r="I74" s="61"/>
      <c r="K74" s="63"/>
    </row>
    <row r="75" spans="1:11" s="62" customFormat="1" ht="14.25">
      <c r="A75" s="54"/>
      <c r="B75" s="55" t="s">
        <v>528</v>
      </c>
      <c r="C75" s="64" t="s">
        <v>529</v>
      </c>
      <c r="D75" s="57" t="s">
        <v>12</v>
      </c>
      <c r="E75" s="59">
        <v>1</v>
      </c>
      <c r="F75" s="59">
        <f>TRUNC(21.9,2)</f>
        <v>21.9</v>
      </c>
      <c r="G75" s="60">
        <f t="shared" si="2"/>
        <v>21.9</v>
      </c>
      <c r="H75" s="61"/>
      <c r="I75" s="61"/>
      <c r="K75" s="63"/>
    </row>
    <row r="76" spans="1:11" s="62" customFormat="1" ht="14.25">
      <c r="A76" s="54"/>
      <c r="B76" s="55" t="s">
        <v>211</v>
      </c>
      <c r="C76" s="64" t="s">
        <v>212</v>
      </c>
      <c r="D76" s="57" t="s">
        <v>6</v>
      </c>
      <c r="E76" s="59">
        <v>8.24</v>
      </c>
      <c r="F76" s="59">
        <f>TRUNC(21.49,2)</f>
        <v>21.49</v>
      </c>
      <c r="G76" s="60">
        <f t="shared" si="2"/>
        <v>177.07</v>
      </c>
      <c r="H76" s="61"/>
      <c r="I76" s="61"/>
      <c r="K76" s="63"/>
    </row>
    <row r="77" spans="1:11" s="62" customFormat="1" ht="14.25">
      <c r="A77" s="54"/>
      <c r="B77" s="55" t="s">
        <v>228</v>
      </c>
      <c r="C77" s="64" t="s">
        <v>229</v>
      </c>
      <c r="D77" s="57" t="s">
        <v>6</v>
      </c>
      <c r="E77" s="59">
        <v>8.24</v>
      </c>
      <c r="F77" s="59">
        <f>TRUNC(19.97,2)</f>
        <v>19.97</v>
      </c>
      <c r="G77" s="60">
        <f t="shared" si="2"/>
        <v>164.55</v>
      </c>
      <c r="H77" s="61"/>
      <c r="I77" s="61"/>
      <c r="K77" s="63"/>
    </row>
    <row r="78" spans="1:11" s="62" customFormat="1" ht="28.5">
      <c r="A78" s="54"/>
      <c r="B78" s="55" t="s">
        <v>572</v>
      </c>
      <c r="C78" s="64" t="s">
        <v>573</v>
      </c>
      <c r="D78" s="57" t="s">
        <v>6</v>
      </c>
      <c r="E78" s="59">
        <v>11.33</v>
      </c>
      <c r="F78" s="59">
        <f>TRUNC(19.97,2)</f>
        <v>19.97</v>
      </c>
      <c r="G78" s="60">
        <f t="shared" si="2"/>
        <v>226.26</v>
      </c>
      <c r="H78" s="61"/>
      <c r="I78" s="61"/>
      <c r="K78" s="63"/>
    </row>
    <row r="79" spans="1:11" s="62" customFormat="1" ht="14.25">
      <c r="A79" s="54"/>
      <c r="B79" s="55" t="s">
        <v>209</v>
      </c>
      <c r="C79" s="64" t="s">
        <v>210</v>
      </c>
      <c r="D79" s="57" t="s">
        <v>6</v>
      </c>
      <c r="E79" s="59">
        <v>8.24</v>
      </c>
      <c r="F79" s="59">
        <f>TRUNC(14.47,2)</f>
        <v>14.47</v>
      </c>
      <c r="G79" s="60">
        <f t="shared" si="2"/>
        <v>119.23</v>
      </c>
      <c r="H79" s="61"/>
      <c r="I79" s="61"/>
      <c r="K79" s="63"/>
    </row>
    <row r="80" spans="1:11" s="62" customFormat="1" ht="28.5">
      <c r="A80" s="54"/>
      <c r="B80" s="55" t="s">
        <v>538</v>
      </c>
      <c r="C80" s="64" t="s">
        <v>539</v>
      </c>
      <c r="D80" s="57" t="s">
        <v>12</v>
      </c>
      <c r="E80" s="59">
        <v>1</v>
      </c>
      <c r="F80" s="59">
        <f>TRUNC(828.15,2)</f>
        <v>828.15</v>
      </c>
      <c r="G80" s="60">
        <f t="shared" si="2"/>
        <v>828.15</v>
      </c>
      <c r="H80" s="61"/>
      <c r="I80" s="61"/>
      <c r="K80" s="63"/>
    </row>
    <row r="81" spans="1:11" s="62" customFormat="1" ht="14.25">
      <c r="A81" s="54"/>
      <c r="B81" s="55" t="s">
        <v>574</v>
      </c>
      <c r="C81" s="64" t="s">
        <v>575</v>
      </c>
      <c r="D81" s="57" t="s">
        <v>12</v>
      </c>
      <c r="E81" s="59">
        <v>1</v>
      </c>
      <c r="F81" s="59">
        <f>TRUNC(444.728,2)</f>
        <v>444.72</v>
      </c>
      <c r="G81" s="60">
        <f t="shared" si="2"/>
        <v>444.72</v>
      </c>
      <c r="H81" s="61"/>
      <c r="I81" s="61"/>
      <c r="K81" s="63"/>
    </row>
    <row r="82" spans="1:11" s="62" customFormat="1" ht="14.25">
      <c r="A82" s="54"/>
      <c r="B82" s="55" t="s">
        <v>576</v>
      </c>
      <c r="C82" s="64" t="s">
        <v>577</v>
      </c>
      <c r="D82" s="57" t="s">
        <v>1</v>
      </c>
      <c r="E82" s="59">
        <v>0.018</v>
      </c>
      <c r="F82" s="59">
        <f>TRUNC(273.3864,2)</f>
        <v>273.38</v>
      </c>
      <c r="G82" s="60">
        <f t="shared" si="2"/>
        <v>4.92</v>
      </c>
      <c r="H82" s="61"/>
      <c r="I82" s="61"/>
      <c r="K82" s="63"/>
    </row>
    <row r="83" spans="1:11" s="62" customFormat="1" ht="14.25">
      <c r="A83" s="54"/>
      <c r="B83" s="55" t="s">
        <v>217</v>
      </c>
      <c r="C83" s="64" t="s">
        <v>578</v>
      </c>
      <c r="D83" s="57" t="s">
        <v>0</v>
      </c>
      <c r="E83" s="59">
        <v>8</v>
      </c>
      <c r="F83" s="59">
        <f>TRUNC(20.6164,2)</f>
        <v>20.61</v>
      </c>
      <c r="G83" s="60">
        <f t="shared" si="2"/>
        <v>164.88</v>
      </c>
      <c r="H83" s="61"/>
      <c r="I83" s="61"/>
      <c r="K83" s="63"/>
    </row>
    <row r="84" spans="1:11" s="62" customFormat="1" ht="14.25">
      <c r="A84" s="54"/>
      <c r="B84" s="55"/>
      <c r="C84" s="64"/>
      <c r="D84" s="57"/>
      <c r="E84" s="59" t="s">
        <v>7</v>
      </c>
      <c r="F84" s="59"/>
      <c r="G84" s="60">
        <f>TRUNC(SUM(G68:G83),2)</f>
        <v>3008.86</v>
      </c>
      <c r="H84" s="61"/>
      <c r="I84" s="61"/>
      <c r="K84" s="63"/>
    </row>
    <row r="85" spans="1:11" s="115" customFormat="1" ht="42.75">
      <c r="A85" s="109" t="s">
        <v>445</v>
      </c>
      <c r="B85" s="110" t="s">
        <v>218</v>
      </c>
      <c r="C85" s="96" t="s">
        <v>163</v>
      </c>
      <c r="D85" s="112" t="s">
        <v>0</v>
      </c>
      <c r="E85" s="114">
        <v>216.9</v>
      </c>
      <c r="F85" s="114">
        <f>TRUNC(G89,2)</f>
        <v>9.4</v>
      </c>
      <c r="G85" s="98">
        <f>TRUNC(F85*1.2338,2)</f>
        <v>11.59</v>
      </c>
      <c r="H85" s="99">
        <f>TRUNC(E85*F85,2)</f>
        <v>2038.86</v>
      </c>
      <c r="I85" s="99">
        <f>TRUNC(E85*G85,2)</f>
        <v>2513.87</v>
      </c>
      <c r="K85" s="116"/>
    </row>
    <row r="86" spans="1:11" s="62" customFormat="1" ht="14.25">
      <c r="A86" s="54"/>
      <c r="B86" s="55" t="s">
        <v>209</v>
      </c>
      <c r="C86" s="64" t="s">
        <v>210</v>
      </c>
      <c r="D86" s="57" t="s">
        <v>6</v>
      </c>
      <c r="E86" s="59">
        <v>0.515</v>
      </c>
      <c r="F86" s="59">
        <f>TRUNC(14.47,2)</f>
        <v>14.47</v>
      </c>
      <c r="G86" s="60">
        <f>TRUNC(E86*F86,2)</f>
        <v>7.45</v>
      </c>
      <c r="H86" s="61"/>
      <c r="I86" s="61"/>
      <c r="K86" s="63"/>
    </row>
    <row r="87" spans="1:11" s="62" customFormat="1" ht="14.25">
      <c r="A87" s="54"/>
      <c r="B87" s="55" t="s">
        <v>219</v>
      </c>
      <c r="C87" s="64" t="s">
        <v>220</v>
      </c>
      <c r="D87" s="57" t="s">
        <v>6</v>
      </c>
      <c r="E87" s="59">
        <v>0.004</v>
      </c>
      <c r="F87" s="59">
        <f>TRUNC(52.34,2)</f>
        <v>52.34</v>
      </c>
      <c r="G87" s="60">
        <f>TRUNC(E87*F87,2)</f>
        <v>0.2</v>
      </c>
      <c r="H87" s="61"/>
      <c r="I87" s="61"/>
      <c r="K87" s="63"/>
    </row>
    <row r="88" spans="1:11" s="62" customFormat="1" ht="14.25">
      <c r="A88" s="54"/>
      <c r="B88" s="55" t="s">
        <v>221</v>
      </c>
      <c r="C88" s="64" t="s">
        <v>222</v>
      </c>
      <c r="D88" s="57" t="s">
        <v>6</v>
      </c>
      <c r="E88" s="59">
        <v>0.016</v>
      </c>
      <c r="F88" s="59">
        <f>TRUNC(109.5969,2)</f>
        <v>109.59</v>
      </c>
      <c r="G88" s="60">
        <f>TRUNC(E88*F88,2)</f>
        <v>1.75</v>
      </c>
      <c r="H88" s="61"/>
      <c r="I88" s="61"/>
      <c r="K88" s="63"/>
    </row>
    <row r="89" spans="1:11" s="62" customFormat="1" ht="14.25">
      <c r="A89" s="54"/>
      <c r="B89" s="55"/>
      <c r="C89" s="64"/>
      <c r="D89" s="57"/>
      <c r="E89" s="59" t="s">
        <v>7</v>
      </c>
      <c r="F89" s="59"/>
      <c r="G89" s="60">
        <f>TRUNC(SUM(G86:G88),2)</f>
        <v>9.4</v>
      </c>
      <c r="H89" s="61"/>
      <c r="I89" s="61"/>
      <c r="K89" s="63"/>
    </row>
    <row r="90" spans="1:11" s="115" customFormat="1" ht="28.5">
      <c r="A90" s="109" t="s">
        <v>649</v>
      </c>
      <c r="B90" s="110" t="s">
        <v>678</v>
      </c>
      <c r="C90" s="96" t="s">
        <v>679</v>
      </c>
      <c r="D90" s="112" t="s">
        <v>3</v>
      </c>
      <c r="E90" s="114">
        <v>22.2</v>
      </c>
      <c r="F90" s="114">
        <f>TRUNC(G92,2)</f>
        <v>11.17</v>
      </c>
      <c r="G90" s="98">
        <f>TRUNC(F90*1.2338,2)</f>
        <v>13.78</v>
      </c>
      <c r="H90" s="99">
        <f>TRUNC(E90*F90,2)</f>
        <v>247.97</v>
      </c>
      <c r="I90" s="99">
        <f>TRUNC(E90*G90,2)</f>
        <v>305.91</v>
      </c>
      <c r="K90" s="116"/>
    </row>
    <row r="91" spans="1:11" s="62" customFormat="1" ht="14.25">
      <c r="A91" s="54"/>
      <c r="B91" s="55" t="s">
        <v>209</v>
      </c>
      <c r="C91" s="64" t="s">
        <v>210</v>
      </c>
      <c r="D91" s="57" t="s">
        <v>6</v>
      </c>
      <c r="E91" s="59">
        <v>0.7725</v>
      </c>
      <c r="F91" s="59">
        <f>TRUNC(14.47,2)</f>
        <v>14.47</v>
      </c>
      <c r="G91" s="60">
        <f>TRUNC(E91*F91,2)</f>
        <v>11.17</v>
      </c>
      <c r="H91" s="106"/>
      <c r="I91" s="61"/>
      <c r="K91" s="63"/>
    </row>
    <row r="92" spans="1:11" s="62" customFormat="1" ht="14.25">
      <c r="A92" s="54"/>
      <c r="B92" s="55"/>
      <c r="C92" s="64"/>
      <c r="D92" s="57"/>
      <c r="E92" s="59" t="s">
        <v>7</v>
      </c>
      <c r="F92" s="59"/>
      <c r="G92" s="60">
        <f>TRUNC(SUM(G91:G91),2)</f>
        <v>11.17</v>
      </c>
      <c r="H92" s="106"/>
      <c r="I92" s="61"/>
      <c r="K92" s="63"/>
    </row>
    <row r="93" spans="1:11" s="115" customFormat="1" ht="42.75">
      <c r="A93" s="109" t="s">
        <v>650</v>
      </c>
      <c r="B93" s="110" t="s">
        <v>579</v>
      </c>
      <c r="C93" s="96" t="s">
        <v>543</v>
      </c>
      <c r="D93" s="112" t="s">
        <v>6</v>
      </c>
      <c r="E93" s="114">
        <v>5</v>
      </c>
      <c r="F93" s="114">
        <f>TRUNC(G99,2)</f>
        <v>50.74</v>
      </c>
      <c r="G93" s="98">
        <f>TRUNC(F93*1.2338,2)</f>
        <v>62.6</v>
      </c>
      <c r="H93" s="99">
        <f>TRUNC(E93*F93,2)</f>
        <v>253.7</v>
      </c>
      <c r="I93" s="99">
        <f>TRUNC(E93*G93,2)</f>
        <v>313</v>
      </c>
      <c r="K93" s="116"/>
    </row>
    <row r="94" spans="1:11" s="62" customFormat="1" ht="14.25">
      <c r="A94" s="54"/>
      <c r="B94" s="55" t="s">
        <v>544</v>
      </c>
      <c r="C94" s="64" t="s">
        <v>545</v>
      </c>
      <c r="D94" s="57" t="s">
        <v>5</v>
      </c>
      <c r="E94" s="59">
        <v>0.02</v>
      </c>
      <c r="F94" s="59">
        <f>TRUNC(5.6,2)</f>
        <v>5.6</v>
      </c>
      <c r="G94" s="60">
        <f>TRUNC(E94*F94,2)</f>
        <v>0.11</v>
      </c>
      <c r="H94" s="61"/>
      <c r="I94" s="61"/>
      <c r="K94" s="63"/>
    </row>
    <row r="95" spans="1:11" s="62" customFormat="1" ht="14.25">
      <c r="A95" s="54"/>
      <c r="B95" s="55" t="s">
        <v>546</v>
      </c>
      <c r="C95" s="64" t="s">
        <v>547</v>
      </c>
      <c r="D95" s="57" t="s">
        <v>467</v>
      </c>
      <c r="E95" s="59">
        <v>0.06</v>
      </c>
      <c r="F95" s="59">
        <f>TRUNC(8.5,2)</f>
        <v>8.5</v>
      </c>
      <c r="G95" s="60">
        <f>TRUNC(E95*F95,2)</f>
        <v>0.51</v>
      </c>
      <c r="H95" s="61"/>
      <c r="I95" s="61"/>
      <c r="K95" s="63"/>
    </row>
    <row r="96" spans="1:11" s="62" customFormat="1" ht="14.25">
      <c r="A96" s="54"/>
      <c r="B96" s="55" t="s">
        <v>548</v>
      </c>
      <c r="C96" s="64" t="s">
        <v>549</v>
      </c>
      <c r="D96" s="57" t="s">
        <v>467</v>
      </c>
      <c r="E96" s="59">
        <v>1.1</v>
      </c>
      <c r="F96" s="59">
        <f>TRUNC(3.583,2)</f>
        <v>3.58</v>
      </c>
      <c r="G96" s="60">
        <f>TRUNC(E96*F96,2)</f>
        <v>3.93</v>
      </c>
      <c r="H96" s="61"/>
      <c r="I96" s="61"/>
      <c r="K96" s="63"/>
    </row>
    <row r="97" spans="1:11" s="62" customFormat="1" ht="14.25">
      <c r="A97" s="54"/>
      <c r="B97" s="55" t="s">
        <v>277</v>
      </c>
      <c r="C97" s="64" t="s">
        <v>278</v>
      </c>
      <c r="D97" s="57" t="s">
        <v>6</v>
      </c>
      <c r="E97" s="59">
        <v>1</v>
      </c>
      <c r="F97" s="59">
        <f>TRUNC(22.44,2)</f>
        <v>22.44</v>
      </c>
      <c r="G97" s="60">
        <f>TRUNC(E97*F97,2)</f>
        <v>22.44</v>
      </c>
      <c r="H97" s="61"/>
      <c r="I97" s="61"/>
      <c r="K97" s="63"/>
    </row>
    <row r="98" spans="1:11" s="62" customFormat="1" ht="28.5">
      <c r="A98" s="54"/>
      <c r="B98" s="55" t="s">
        <v>552</v>
      </c>
      <c r="C98" s="64" t="s">
        <v>553</v>
      </c>
      <c r="D98" s="57" t="s">
        <v>12</v>
      </c>
      <c r="E98" s="59">
        <v>0.0001</v>
      </c>
      <c r="F98" s="59">
        <f>TRUNC(237526,2)</f>
        <v>237526</v>
      </c>
      <c r="G98" s="60">
        <f>TRUNC(E98*F98,2)</f>
        <v>23.75</v>
      </c>
      <c r="H98" s="61"/>
      <c r="I98" s="61"/>
      <c r="K98" s="63"/>
    </row>
    <row r="99" spans="1:11" s="62" customFormat="1" ht="14.25">
      <c r="A99" s="54"/>
      <c r="B99" s="55"/>
      <c r="C99" s="64"/>
      <c r="D99" s="57"/>
      <c r="E99" s="59" t="s">
        <v>7</v>
      </c>
      <c r="F99" s="59"/>
      <c r="G99" s="60">
        <f>TRUNC(SUM(G94:G98),2)</f>
        <v>50.74</v>
      </c>
      <c r="H99" s="61"/>
      <c r="I99" s="61"/>
      <c r="K99" s="63"/>
    </row>
    <row r="100" spans="1:9" s="39" customFormat="1" ht="15.75">
      <c r="A100" s="48" t="s">
        <v>52</v>
      </c>
      <c r="B100" s="50"/>
      <c r="C100" s="49"/>
      <c r="D100" s="50"/>
      <c r="E100" s="50"/>
      <c r="F100" s="50"/>
      <c r="G100" s="50" t="s">
        <v>56</v>
      </c>
      <c r="H100" s="52">
        <f>H27+H20+H13+H85+H90+H93+H67+H46</f>
        <v>13015.97</v>
      </c>
      <c r="I100" s="52">
        <f>I27+I20+I13+I85+I90+I93+I67+I46</f>
        <v>16057.16</v>
      </c>
    </row>
    <row r="101" spans="1:9" s="38" customFormat="1" ht="15.75">
      <c r="A101" s="38" t="s">
        <v>20</v>
      </c>
      <c r="B101" s="46"/>
      <c r="C101" s="47" t="s">
        <v>50</v>
      </c>
      <c r="D101" s="47"/>
      <c r="E101" s="47"/>
      <c r="F101" s="47"/>
      <c r="G101" s="47"/>
      <c r="H101" s="47"/>
      <c r="I101" s="45"/>
    </row>
    <row r="102" spans="1:9" s="96" customFormat="1" ht="85.5">
      <c r="A102" s="96" t="s">
        <v>53</v>
      </c>
      <c r="B102" s="96" t="s">
        <v>223</v>
      </c>
      <c r="C102" s="96" t="s">
        <v>643</v>
      </c>
      <c r="D102" s="98" t="s">
        <v>0</v>
      </c>
      <c r="E102" s="98">
        <v>216.9</v>
      </c>
      <c r="F102" s="98">
        <f>TRUNC(G117,2)</f>
        <v>83.45</v>
      </c>
      <c r="G102" s="98">
        <f>TRUNC(F102*1.2338,2)</f>
        <v>102.96</v>
      </c>
      <c r="H102" s="99">
        <f>TRUNC(E102*F102,2)</f>
        <v>18100.3</v>
      </c>
      <c r="I102" s="99">
        <f>TRUNC(E102*G102,2)</f>
        <v>22332.02</v>
      </c>
    </row>
    <row r="103" spans="2:9" s="64" customFormat="1" ht="14.25">
      <c r="B103" s="64" t="s">
        <v>166</v>
      </c>
      <c r="C103" s="64" t="s">
        <v>118</v>
      </c>
      <c r="D103" s="60" t="s">
        <v>47</v>
      </c>
      <c r="E103" s="60">
        <v>0.0725</v>
      </c>
      <c r="F103" s="60">
        <f>TRUNC(49.01,2)</f>
        <v>49.01</v>
      </c>
      <c r="G103" s="60">
        <f aca="true" t="shared" si="3" ref="G103:G116">TRUNC(E103*F103,2)</f>
        <v>3.55</v>
      </c>
      <c r="H103" s="61"/>
      <c r="I103" s="61"/>
    </row>
    <row r="104" spans="2:9" s="64" customFormat="1" ht="28.5">
      <c r="B104" s="64" t="s">
        <v>167</v>
      </c>
      <c r="C104" s="64" t="s">
        <v>168</v>
      </c>
      <c r="D104" s="60" t="s">
        <v>5</v>
      </c>
      <c r="E104" s="60">
        <v>3.25</v>
      </c>
      <c r="F104" s="60">
        <f>TRUNC(3.558,2)</f>
        <v>3.55</v>
      </c>
      <c r="G104" s="60">
        <f t="shared" si="3"/>
        <v>11.53</v>
      </c>
      <c r="H104" s="61"/>
      <c r="I104" s="61"/>
    </row>
    <row r="105" spans="2:9" s="64" customFormat="1" ht="14.25">
      <c r="B105" s="64" t="s">
        <v>169</v>
      </c>
      <c r="C105" s="64" t="s">
        <v>170</v>
      </c>
      <c r="D105" s="60" t="s">
        <v>0</v>
      </c>
      <c r="E105" s="60">
        <v>1.2</v>
      </c>
      <c r="F105" s="60">
        <f>TRUNC(0.6,2)</f>
        <v>0.6</v>
      </c>
      <c r="G105" s="60">
        <f t="shared" si="3"/>
        <v>0.72</v>
      </c>
      <c r="H105" s="61"/>
      <c r="I105" s="61"/>
    </row>
    <row r="106" spans="2:9" s="73" customFormat="1" ht="15">
      <c r="B106" s="73" t="s">
        <v>271</v>
      </c>
      <c r="C106" s="73" t="s">
        <v>272</v>
      </c>
      <c r="D106" s="74" t="s">
        <v>1</v>
      </c>
      <c r="E106" s="74">
        <v>0.105</v>
      </c>
      <c r="F106" s="74">
        <v>305.17</v>
      </c>
      <c r="G106" s="74">
        <f t="shared" si="3"/>
        <v>32.04</v>
      </c>
      <c r="H106" s="75"/>
      <c r="I106" s="76"/>
    </row>
    <row r="107" spans="2:9" s="64" customFormat="1" ht="14.25">
      <c r="B107" s="64" t="s">
        <v>209</v>
      </c>
      <c r="C107" s="64" t="s">
        <v>210</v>
      </c>
      <c r="D107" s="60" t="s">
        <v>6</v>
      </c>
      <c r="E107" s="60">
        <v>1.15875</v>
      </c>
      <c r="F107" s="60">
        <f>TRUNC(14.47,2)</f>
        <v>14.47</v>
      </c>
      <c r="G107" s="60">
        <f t="shared" si="3"/>
        <v>16.76</v>
      </c>
      <c r="H107" s="61"/>
      <c r="I107" s="61"/>
    </row>
    <row r="108" spans="2:9" s="64" customFormat="1" ht="14.25">
      <c r="B108" s="64" t="s">
        <v>224</v>
      </c>
      <c r="C108" s="64" t="s">
        <v>225</v>
      </c>
      <c r="D108" s="60" t="s">
        <v>6</v>
      </c>
      <c r="E108" s="60">
        <v>0.1648</v>
      </c>
      <c r="F108" s="60">
        <f>TRUNC(19.97,2)</f>
        <v>19.97</v>
      </c>
      <c r="G108" s="60">
        <f t="shared" si="3"/>
        <v>3.29</v>
      </c>
      <c r="H108" s="61"/>
      <c r="I108" s="61"/>
    </row>
    <row r="109" spans="2:9" s="64" customFormat="1" ht="14.25">
      <c r="B109" s="64" t="s">
        <v>226</v>
      </c>
      <c r="C109" s="64" t="s">
        <v>227</v>
      </c>
      <c r="D109" s="60" t="s">
        <v>6</v>
      </c>
      <c r="E109" s="60">
        <v>0.0927</v>
      </c>
      <c r="F109" s="60">
        <f>TRUNC(19.97,2)</f>
        <v>19.97</v>
      </c>
      <c r="G109" s="60">
        <f t="shared" si="3"/>
        <v>1.85</v>
      </c>
      <c r="H109" s="61"/>
      <c r="I109" s="61"/>
    </row>
    <row r="110" spans="2:9" s="64" customFormat="1" ht="14.25">
      <c r="B110" s="64" t="s">
        <v>228</v>
      </c>
      <c r="C110" s="64" t="s">
        <v>229</v>
      </c>
      <c r="D110" s="60" t="s">
        <v>6</v>
      </c>
      <c r="E110" s="60">
        <v>0.6695000000000001</v>
      </c>
      <c r="F110" s="60">
        <f>TRUNC(19.97,2)</f>
        <v>19.97</v>
      </c>
      <c r="G110" s="60">
        <f t="shared" si="3"/>
        <v>13.36</v>
      </c>
      <c r="H110" s="61"/>
      <c r="I110" s="61"/>
    </row>
    <row r="111" spans="2:9" s="64" customFormat="1" ht="14.25">
      <c r="B111" s="64" t="s">
        <v>230</v>
      </c>
      <c r="C111" s="64" t="s">
        <v>231</v>
      </c>
      <c r="D111" s="60" t="s">
        <v>6</v>
      </c>
      <c r="E111" s="60">
        <v>0.0292</v>
      </c>
      <c r="F111" s="60">
        <f>TRUNC(1.3478,2)</f>
        <v>1.34</v>
      </c>
      <c r="G111" s="60">
        <f t="shared" si="3"/>
        <v>0.03</v>
      </c>
      <c r="H111" s="61"/>
      <c r="I111" s="61"/>
    </row>
    <row r="112" spans="2:9" s="64" customFormat="1" ht="14.25">
      <c r="B112" s="64" t="s">
        <v>232</v>
      </c>
      <c r="C112" s="64" t="s">
        <v>233</v>
      </c>
      <c r="D112" s="60" t="s">
        <v>6</v>
      </c>
      <c r="E112" s="60">
        <v>0.0125</v>
      </c>
      <c r="F112" s="60">
        <f>TRUNC(6.689,2)</f>
        <v>6.68</v>
      </c>
      <c r="G112" s="60">
        <f t="shared" si="3"/>
        <v>0.08</v>
      </c>
      <c r="H112" s="61"/>
      <c r="I112" s="61"/>
    </row>
    <row r="113" spans="2:9" s="64" customFormat="1" ht="14.25">
      <c r="B113" s="64" t="s">
        <v>234</v>
      </c>
      <c r="C113" s="64" t="s">
        <v>235</v>
      </c>
      <c r="D113" s="60" t="s">
        <v>6</v>
      </c>
      <c r="E113" s="60">
        <v>0.0438</v>
      </c>
      <c r="F113" s="60">
        <f>TRUNC(0.9648,2)</f>
        <v>0.96</v>
      </c>
      <c r="G113" s="60">
        <f t="shared" si="3"/>
        <v>0.04</v>
      </c>
      <c r="H113" s="61"/>
      <c r="I113" s="61"/>
    </row>
    <row r="114" spans="2:9" s="64" customFormat="1" ht="14.25">
      <c r="B114" s="64" t="s">
        <v>236</v>
      </c>
      <c r="C114" s="64" t="s">
        <v>237</v>
      </c>
      <c r="D114" s="60" t="s">
        <v>6</v>
      </c>
      <c r="E114" s="60">
        <v>0.0188</v>
      </c>
      <c r="F114" s="60">
        <f>TRUNC(8.7466,2)</f>
        <v>8.74</v>
      </c>
      <c r="G114" s="60">
        <f t="shared" si="3"/>
        <v>0.16</v>
      </c>
      <c r="H114" s="61"/>
      <c r="I114" s="61"/>
    </row>
    <row r="115" spans="2:9" s="64" customFormat="1" ht="14.25">
      <c r="B115" s="64" t="s">
        <v>238</v>
      </c>
      <c r="C115" s="64" t="s">
        <v>239</v>
      </c>
      <c r="D115" s="60" t="s">
        <v>6</v>
      </c>
      <c r="E115" s="60">
        <v>0.036</v>
      </c>
      <c r="F115" s="60">
        <f>TRUNC(0.221,2)</f>
        <v>0.22</v>
      </c>
      <c r="G115" s="60">
        <f t="shared" si="3"/>
        <v>0</v>
      </c>
      <c r="H115" s="61"/>
      <c r="I115" s="61"/>
    </row>
    <row r="116" spans="2:9" s="64" customFormat="1" ht="14.25">
      <c r="B116" s="64" t="s">
        <v>240</v>
      </c>
      <c r="C116" s="64" t="s">
        <v>241</v>
      </c>
      <c r="D116" s="60" t="s">
        <v>6</v>
      </c>
      <c r="E116" s="60">
        <v>0.036</v>
      </c>
      <c r="F116" s="60">
        <f>TRUNC(1.1619,2)</f>
        <v>1.16</v>
      </c>
      <c r="G116" s="60">
        <f t="shared" si="3"/>
        <v>0.04</v>
      </c>
      <c r="H116" s="61"/>
      <c r="I116" s="61"/>
    </row>
    <row r="117" spans="4:9" s="64" customFormat="1" ht="14.25">
      <c r="D117" s="60"/>
      <c r="E117" s="60" t="s">
        <v>7</v>
      </c>
      <c r="F117" s="60"/>
      <c r="G117" s="60">
        <f>TRUNC(SUM(G103:G116),2)</f>
        <v>83.45</v>
      </c>
      <c r="H117" s="61"/>
      <c r="I117" s="61"/>
    </row>
    <row r="118" spans="1:12" s="96" customFormat="1" ht="57">
      <c r="A118" s="96" t="s">
        <v>446</v>
      </c>
      <c r="B118" s="96" t="s">
        <v>580</v>
      </c>
      <c r="C118" s="96" t="s">
        <v>416</v>
      </c>
      <c r="D118" s="98" t="s">
        <v>0</v>
      </c>
      <c r="E118" s="98">
        <v>1.5</v>
      </c>
      <c r="F118" s="98">
        <f>TRUNC(G124,2)</f>
        <v>74.07</v>
      </c>
      <c r="G118" s="98">
        <f>TRUNC(F118*1.2338,2)</f>
        <v>91.38</v>
      </c>
      <c r="H118" s="99">
        <f>TRUNC(E118*F118,2)</f>
        <v>111.1</v>
      </c>
      <c r="I118" s="99">
        <f>TRUNC(E118*G118,2)</f>
        <v>137.07</v>
      </c>
      <c r="L118" s="96">
        <f>87.68*11.1</f>
        <v>973.248</v>
      </c>
    </row>
    <row r="119" spans="2:9" s="64" customFormat="1" ht="14.25">
      <c r="B119" s="64" t="s">
        <v>417</v>
      </c>
      <c r="C119" s="64" t="s">
        <v>418</v>
      </c>
      <c r="D119" s="60" t="s">
        <v>12</v>
      </c>
      <c r="E119" s="60">
        <v>31</v>
      </c>
      <c r="F119" s="60">
        <f>TRUNC(0.7,2)</f>
        <v>0.7</v>
      </c>
      <c r="G119" s="60">
        <f>TRUNC(E119*F119,2)</f>
        <v>21.7</v>
      </c>
      <c r="H119" s="61"/>
      <c r="I119" s="61"/>
    </row>
    <row r="120" spans="2:9" s="64" customFormat="1" ht="14.25">
      <c r="B120" s="64" t="s">
        <v>419</v>
      </c>
      <c r="C120" s="64" t="s">
        <v>420</v>
      </c>
      <c r="D120" s="60" t="s">
        <v>12</v>
      </c>
      <c r="E120" s="60">
        <v>6</v>
      </c>
      <c r="F120" s="60">
        <f>TRUNC(0.49,2)</f>
        <v>0.49</v>
      </c>
      <c r="G120" s="60">
        <f>TRUNC(E120*F120,2)</f>
        <v>2.94</v>
      </c>
      <c r="H120" s="61"/>
      <c r="I120" s="61"/>
    </row>
    <row r="121" spans="2:9" s="64" customFormat="1" ht="14.25">
      <c r="B121" s="64" t="s">
        <v>209</v>
      </c>
      <c r="C121" s="64" t="s">
        <v>210</v>
      </c>
      <c r="D121" s="60" t="s">
        <v>6</v>
      </c>
      <c r="E121" s="60">
        <v>0.7725</v>
      </c>
      <c r="F121" s="60">
        <f>TRUNC(14.47,2)</f>
        <v>14.47</v>
      </c>
      <c r="G121" s="60">
        <f>TRUNC(E121*F121,2)</f>
        <v>11.17</v>
      </c>
      <c r="H121" s="61"/>
      <c r="I121" s="61"/>
    </row>
    <row r="122" spans="2:9" s="64" customFormat="1" ht="14.25">
      <c r="B122" s="64" t="s">
        <v>228</v>
      </c>
      <c r="C122" s="64" t="s">
        <v>229</v>
      </c>
      <c r="D122" s="60" t="s">
        <v>6</v>
      </c>
      <c r="E122" s="60">
        <v>1.545</v>
      </c>
      <c r="F122" s="60">
        <f>TRUNC(19.97,2)</f>
        <v>19.97</v>
      </c>
      <c r="G122" s="60">
        <f>TRUNC(E122*F122,2)</f>
        <v>30.85</v>
      </c>
      <c r="H122" s="61"/>
      <c r="I122" s="61"/>
    </row>
    <row r="123" spans="2:9" s="64" customFormat="1" ht="14.25">
      <c r="B123" s="64" t="s">
        <v>581</v>
      </c>
      <c r="C123" s="64" t="s">
        <v>582</v>
      </c>
      <c r="D123" s="60" t="s">
        <v>1</v>
      </c>
      <c r="E123" s="60">
        <v>0.0325</v>
      </c>
      <c r="F123" s="60">
        <f>TRUNC(228.0614,2)</f>
        <v>228.06</v>
      </c>
      <c r="G123" s="60">
        <f>TRUNC(E123*F123,2)</f>
        <v>7.41</v>
      </c>
      <c r="H123" s="61"/>
      <c r="I123" s="61"/>
    </row>
    <row r="124" spans="4:9" s="64" customFormat="1" ht="14.25">
      <c r="D124" s="60"/>
      <c r="E124" s="60" t="s">
        <v>7</v>
      </c>
      <c r="F124" s="60"/>
      <c r="G124" s="60">
        <f>TRUNC(SUM(G119:G123),2)</f>
        <v>74.07</v>
      </c>
      <c r="H124" s="61"/>
      <c r="I124" s="61"/>
    </row>
    <row r="125" spans="1:12" s="96" customFormat="1" ht="42.75">
      <c r="A125" s="96" t="s">
        <v>447</v>
      </c>
      <c r="B125" s="96" t="s">
        <v>583</v>
      </c>
      <c r="C125" s="96" t="s">
        <v>424</v>
      </c>
      <c r="D125" s="98" t="s">
        <v>0</v>
      </c>
      <c r="E125" s="98">
        <v>3.6</v>
      </c>
      <c r="F125" s="98">
        <f>TRUNC(G130,2)</f>
        <v>25.65</v>
      </c>
      <c r="G125" s="98">
        <f>TRUNC(F125*1.2338,2)</f>
        <v>31.64</v>
      </c>
      <c r="H125" s="99">
        <f>TRUNC(E125*F125,2)</f>
        <v>92.34</v>
      </c>
      <c r="I125" s="99">
        <f>TRUNC(E125*G125,2)</f>
        <v>113.9</v>
      </c>
      <c r="L125" s="96">
        <f>29.74*22.2</f>
        <v>660.228</v>
      </c>
    </row>
    <row r="126" spans="2:9" s="64" customFormat="1" ht="14.25">
      <c r="B126" s="64" t="s">
        <v>209</v>
      </c>
      <c r="C126" s="64" t="s">
        <v>210</v>
      </c>
      <c r="D126" s="60" t="s">
        <v>6</v>
      </c>
      <c r="E126" s="60">
        <v>0.41200000000000003</v>
      </c>
      <c r="F126" s="60">
        <f>TRUNC(14.47,2)</f>
        <v>14.47</v>
      </c>
      <c r="G126" s="60">
        <f>TRUNC(E126*F126,2)</f>
        <v>5.96</v>
      </c>
      <c r="H126" s="61"/>
      <c r="I126" s="61"/>
    </row>
    <row r="127" spans="2:9" s="64" customFormat="1" ht="14.25">
      <c r="B127" s="64" t="s">
        <v>228</v>
      </c>
      <c r="C127" s="64" t="s">
        <v>229</v>
      </c>
      <c r="D127" s="60" t="s">
        <v>6</v>
      </c>
      <c r="E127" s="60">
        <v>0.41200000000000003</v>
      </c>
      <c r="F127" s="60">
        <f>TRUNC(19.97,2)</f>
        <v>19.97</v>
      </c>
      <c r="G127" s="60">
        <f>TRUNC(E127*F127,2)</f>
        <v>8.22</v>
      </c>
      <c r="H127" s="61"/>
      <c r="I127" s="61"/>
    </row>
    <row r="128" spans="2:9" s="64" customFormat="1" ht="28.5">
      <c r="B128" s="64" t="s">
        <v>584</v>
      </c>
      <c r="C128" s="64" t="s">
        <v>585</v>
      </c>
      <c r="D128" s="60" t="s">
        <v>0</v>
      </c>
      <c r="E128" s="60">
        <v>1</v>
      </c>
      <c r="F128" s="60">
        <f>TRUNC(4.9142,2)</f>
        <v>4.91</v>
      </c>
      <c r="G128" s="60">
        <f>TRUNC(E128*F128,2)</f>
        <v>4.91</v>
      </c>
      <c r="H128" s="61"/>
      <c r="I128" s="61"/>
    </row>
    <row r="129" spans="2:9" s="64" customFormat="1" ht="14.25">
      <c r="B129" s="64" t="s">
        <v>576</v>
      </c>
      <c r="C129" s="64" t="s">
        <v>577</v>
      </c>
      <c r="D129" s="60" t="s">
        <v>1</v>
      </c>
      <c r="E129" s="60">
        <v>0.024</v>
      </c>
      <c r="F129" s="60">
        <f>TRUNC(273.3864,2)</f>
        <v>273.38</v>
      </c>
      <c r="G129" s="60">
        <f>TRUNC(E129*F129,2)</f>
        <v>6.56</v>
      </c>
      <c r="H129" s="61"/>
      <c r="I129" s="61"/>
    </row>
    <row r="130" spans="4:9" s="64" customFormat="1" ht="14.25">
      <c r="D130" s="60"/>
      <c r="E130" s="60" t="s">
        <v>7</v>
      </c>
      <c r="F130" s="60"/>
      <c r="G130" s="60">
        <f>TRUNC(SUM(G126:G129),2)</f>
        <v>25.65</v>
      </c>
      <c r="H130" s="61"/>
      <c r="I130" s="61"/>
    </row>
    <row r="131" spans="1:9" s="96" customFormat="1" ht="28.5">
      <c r="A131" s="96" t="s">
        <v>448</v>
      </c>
      <c r="B131" s="96" t="s">
        <v>586</v>
      </c>
      <c r="C131" s="96" t="s">
        <v>428</v>
      </c>
      <c r="D131" s="98" t="s">
        <v>1</v>
      </c>
      <c r="E131" s="98">
        <v>0.05</v>
      </c>
      <c r="F131" s="98">
        <f>TRUNC(G141,2)</f>
        <v>1510.3</v>
      </c>
      <c r="G131" s="98">
        <f>TRUNC(F131*1.2338,2)</f>
        <v>1863.4</v>
      </c>
      <c r="H131" s="99">
        <f>TRUNC(E131*F131,2)</f>
        <v>75.51</v>
      </c>
      <c r="I131" s="99">
        <f>TRUNC(E131*G131,2)</f>
        <v>93.17</v>
      </c>
    </row>
    <row r="132" spans="2:9" s="64" customFormat="1" ht="28.5">
      <c r="B132" s="64" t="s">
        <v>4</v>
      </c>
      <c r="C132" s="64" t="s">
        <v>71</v>
      </c>
      <c r="D132" s="60" t="s">
        <v>5</v>
      </c>
      <c r="E132" s="60">
        <v>1.4</v>
      </c>
      <c r="F132" s="60">
        <f>TRUNC(8.39,2)</f>
        <v>8.39</v>
      </c>
      <c r="G132" s="60">
        <f aca="true" t="shared" si="4" ref="G132:G140">TRUNC(E132*F132,2)</f>
        <v>11.74</v>
      </c>
      <c r="H132" s="61"/>
      <c r="I132" s="61"/>
    </row>
    <row r="133" spans="2:9" s="64" customFormat="1" ht="14.25">
      <c r="B133" s="64" t="s">
        <v>429</v>
      </c>
      <c r="C133" s="64" t="s">
        <v>430</v>
      </c>
      <c r="D133" s="60" t="s">
        <v>5</v>
      </c>
      <c r="E133" s="60">
        <v>75</v>
      </c>
      <c r="F133" s="60">
        <f>TRUNC(4.02,2)</f>
        <v>4.02</v>
      </c>
      <c r="G133" s="60">
        <f t="shared" si="4"/>
        <v>301.5</v>
      </c>
      <c r="H133" s="61"/>
      <c r="I133" s="61"/>
    </row>
    <row r="134" spans="2:9" s="64" customFormat="1" ht="14.25">
      <c r="B134" s="64" t="s">
        <v>431</v>
      </c>
      <c r="C134" s="64" t="s">
        <v>432</v>
      </c>
      <c r="D134" s="60" t="s">
        <v>5</v>
      </c>
      <c r="E134" s="60">
        <v>1.2</v>
      </c>
      <c r="F134" s="60">
        <f>TRUNC(6.4,2)</f>
        <v>6.4</v>
      </c>
      <c r="G134" s="60">
        <f t="shared" si="4"/>
        <v>7.68</v>
      </c>
      <c r="H134" s="61"/>
      <c r="I134" s="61"/>
    </row>
    <row r="135" spans="2:9" s="64" customFormat="1" ht="14.25">
      <c r="B135" s="64" t="s">
        <v>209</v>
      </c>
      <c r="C135" s="64" t="s">
        <v>210</v>
      </c>
      <c r="D135" s="60" t="s">
        <v>6</v>
      </c>
      <c r="E135" s="60">
        <v>30.900000000000002</v>
      </c>
      <c r="F135" s="60">
        <f>TRUNC(14.47,2)</f>
        <v>14.47</v>
      </c>
      <c r="G135" s="60">
        <f t="shared" si="4"/>
        <v>447.12</v>
      </c>
      <c r="H135" s="61"/>
      <c r="I135" s="61"/>
    </row>
    <row r="136" spans="2:9" s="64" customFormat="1" ht="14.25">
      <c r="B136" s="64" t="s">
        <v>224</v>
      </c>
      <c r="C136" s="64" t="s">
        <v>225</v>
      </c>
      <c r="D136" s="60" t="s">
        <v>6</v>
      </c>
      <c r="E136" s="60">
        <v>15.450000000000001</v>
      </c>
      <c r="F136" s="60">
        <f>TRUNC(19.97,2)</f>
        <v>19.97</v>
      </c>
      <c r="G136" s="60">
        <f t="shared" si="4"/>
        <v>308.53</v>
      </c>
      <c r="H136" s="61"/>
      <c r="I136" s="61"/>
    </row>
    <row r="137" spans="2:9" s="64" customFormat="1" ht="14.25">
      <c r="B137" s="64" t="s">
        <v>226</v>
      </c>
      <c r="C137" s="64" t="s">
        <v>227</v>
      </c>
      <c r="D137" s="60" t="s">
        <v>6</v>
      </c>
      <c r="E137" s="60">
        <v>6.18</v>
      </c>
      <c r="F137" s="60">
        <f>TRUNC(19.97,2)</f>
        <v>19.97</v>
      </c>
      <c r="G137" s="60">
        <f t="shared" si="4"/>
        <v>123.41</v>
      </c>
      <c r="H137" s="61"/>
      <c r="I137" s="61"/>
    </row>
    <row r="138" spans="2:9" s="64" customFormat="1" ht="14.25">
      <c r="B138" s="64" t="s">
        <v>228</v>
      </c>
      <c r="C138" s="64" t="s">
        <v>229</v>
      </c>
      <c r="D138" s="60" t="s">
        <v>6</v>
      </c>
      <c r="E138" s="60">
        <v>4.12</v>
      </c>
      <c r="F138" s="60">
        <f>TRUNC(19.97,2)</f>
        <v>19.97</v>
      </c>
      <c r="G138" s="60">
        <f t="shared" si="4"/>
        <v>82.27</v>
      </c>
      <c r="H138" s="61"/>
      <c r="I138" s="61"/>
    </row>
    <row r="139" spans="2:9" s="64" customFormat="1" ht="14.25">
      <c r="B139" s="64" t="s">
        <v>587</v>
      </c>
      <c r="C139" s="64" t="s">
        <v>588</v>
      </c>
      <c r="D139" s="60" t="s">
        <v>1</v>
      </c>
      <c r="E139" s="60">
        <v>1.05</v>
      </c>
      <c r="F139" s="60">
        <f>TRUNC(195.6056,2)</f>
        <v>195.6</v>
      </c>
      <c r="G139" s="60">
        <f t="shared" si="4"/>
        <v>205.38</v>
      </c>
      <c r="H139" s="61"/>
      <c r="I139" s="61"/>
    </row>
    <row r="140" spans="2:9" s="64" customFormat="1" ht="14.25">
      <c r="B140" s="64" t="s">
        <v>217</v>
      </c>
      <c r="C140" s="64" t="s">
        <v>578</v>
      </c>
      <c r="D140" s="60" t="s">
        <v>0</v>
      </c>
      <c r="E140" s="60">
        <v>1.1</v>
      </c>
      <c r="F140" s="60">
        <f>TRUNC(20.6164,2)</f>
        <v>20.61</v>
      </c>
      <c r="G140" s="60">
        <f t="shared" si="4"/>
        <v>22.67</v>
      </c>
      <c r="H140" s="61"/>
      <c r="I140" s="61"/>
    </row>
    <row r="141" spans="4:9" s="64" customFormat="1" ht="14.25">
      <c r="D141" s="60"/>
      <c r="E141" s="60" t="s">
        <v>7</v>
      </c>
      <c r="F141" s="60"/>
      <c r="G141" s="60">
        <f>TRUNC(SUM(G132:G140),2)</f>
        <v>1510.3</v>
      </c>
      <c r="H141" s="61"/>
      <c r="I141" s="61"/>
    </row>
    <row r="142" spans="1:9" s="96" customFormat="1" ht="42.75">
      <c r="A142" s="96" t="s">
        <v>694</v>
      </c>
      <c r="B142" s="96" t="s">
        <v>658</v>
      </c>
      <c r="C142" s="96" t="s">
        <v>671</v>
      </c>
      <c r="D142" s="98" t="s">
        <v>1</v>
      </c>
      <c r="E142" s="98">
        <v>0.4</v>
      </c>
      <c r="F142" s="98">
        <f>TRUNC(G149,2)</f>
        <v>199.95</v>
      </c>
      <c r="G142" s="98">
        <f>TRUNC(F142*1.2338,2)</f>
        <v>246.69</v>
      </c>
      <c r="H142" s="99">
        <f>TRUNC(E142*F142,2)</f>
        <v>79.98</v>
      </c>
      <c r="I142" s="99">
        <f>TRUNC(E142*G142,2)</f>
        <v>98.67</v>
      </c>
    </row>
    <row r="143" spans="2:9" s="73" customFormat="1" ht="15">
      <c r="B143" s="73" t="s">
        <v>271</v>
      </c>
      <c r="C143" s="73" t="s">
        <v>272</v>
      </c>
      <c r="D143" s="74" t="s">
        <v>1</v>
      </c>
      <c r="E143" s="74">
        <v>0.105</v>
      </c>
      <c r="F143" s="74">
        <v>305.17</v>
      </c>
      <c r="G143" s="74">
        <f aca="true" t="shared" si="5" ref="G143:G148">TRUNC(E143*F143,2)</f>
        <v>32.04</v>
      </c>
      <c r="H143" s="75"/>
      <c r="I143" s="76"/>
    </row>
    <row r="144" spans="2:9" s="64" customFormat="1" ht="14.25">
      <c r="B144" s="64" t="s">
        <v>138</v>
      </c>
      <c r="C144" s="64" t="s">
        <v>139</v>
      </c>
      <c r="D144" s="60" t="s">
        <v>6</v>
      </c>
      <c r="E144" s="60">
        <v>5.538</v>
      </c>
      <c r="F144" s="60">
        <f>TRUNC(21.14,2)</f>
        <v>21.14</v>
      </c>
      <c r="G144" s="60">
        <f t="shared" si="5"/>
        <v>117.07</v>
      </c>
      <c r="H144" s="61"/>
      <c r="I144" s="61"/>
    </row>
    <row r="145" spans="2:9" s="64" customFormat="1" ht="14.25">
      <c r="B145" s="64" t="s">
        <v>618</v>
      </c>
      <c r="C145" s="64" t="s">
        <v>368</v>
      </c>
      <c r="D145" s="60" t="s">
        <v>6</v>
      </c>
      <c r="E145" s="60">
        <v>1.846</v>
      </c>
      <c r="F145" s="60">
        <f>TRUNC(26.85,2)</f>
        <v>26.85</v>
      </c>
      <c r="G145" s="60">
        <f t="shared" si="5"/>
        <v>49.56</v>
      </c>
      <c r="H145" s="61"/>
      <c r="I145" s="61"/>
    </row>
    <row r="146" spans="2:9" s="73" customFormat="1" ht="15">
      <c r="B146" s="73" t="s">
        <v>672</v>
      </c>
      <c r="C146" s="73" t="s">
        <v>673</v>
      </c>
      <c r="D146" s="74" t="s">
        <v>6</v>
      </c>
      <c r="E146" s="74">
        <v>0</v>
      </c>
      <c r="F146" s="74">
        <f>TRUNC(26.46,2)</f>
        <v>26.46</v>
      </c>
      <c r="G146" s="74">
        <f t="shared" si="5"/>
        <v>0</v>
      </c>
      <c r="H146" s="76"/>
      <c r="I146" s="76"/>
    </row>
    <row r="147" spans="2:9" s="64" customFormat="1" ht="28.5">
      <c r="B147" s="64" t="s">
        <v>674</v>
      </c>
      <c r="C147" s="64" t="s">
        <v>675</v>
      </c>
      <c r="D147" s="60" t="s">
        <v>468</v>
      </c>
      <c r="E147" s="60">
        <v>1.174</v>
      </c>
      <c r="F147" s="60">
        <f>TRUNC(0.29,2)</f>
        <v>0.29</v>
      </c>
      <c r="G147" s="60">
        <f t="shared" si="5"/>
        <v>0.34</v>
      </c>
      <c r="H147" s="61"/>
      <c r="I147" s="61"/>
    </row>
    <row r="148" spans="2:9" s="64" customFormat="1" ht="28.5">
      <c r="B148" s="64" t="s">
        <v>676</v>
      </c>
      <c r="C148" s="64" t="s">
        <v>677</v>
      </c>
      <c r="D148" s="60" t="s">
        <v>51</v>
      </c>
      <c r="E148" s="60">
        <v>0.672</v>
      </c>
      <c r="F148" s="60">
        <f>TRUNC(1.4,2)</f>
        <v>1.4</v>
      </c>
      <c r="G148" s="60">
        <f t="shared" si="5"/>
        <v>0.94</v>
      </c>
      <c r="H148" s="61"/>
      <c r="I148" s="61"/>
    </row>
    <row r="149" spans="4:9" s="64" customFormat="1" ht="14.25">
      <c r="D149" s="60"/>
      <c r="E149" s="60" t="s">
        <v>7</v>
      </c>
      <c r="F149" s="60"/>
      <c r="G149" s="60">
        <f>TRUNC(SUM(G143:G148),2)</f>
        <v>199.95</v>
      </c>
      <c r="H149" s="61"/>
      <c r="I149" s="61"/>
    </row>
    <row r="150" spans="1:9" s="96" customFormat="1" ht="42.75">
      <c r="A150" s="96" t="s">
        <v>695</v>
      </c>
      <c r="B150" s="96" t="s">
        <v>659</v>
      </c>
      <c r="C150" s="96" t="s">
        <v>660</v>
      </c>
      <c r="D150" s="98" t="s">
        <v>5</v>
      </c>
      <c r="E150" s="98">
        <v>40.13</v>
      </c>
      <c r="F150" s="98">
        <f>TRUNC(G156,2)</f>
        <v>11.7</v>
      </c>
      <c r="G150" s="98">
        <f>TRUNC(F150*1.2338,2)</f>
        <v>14.43</v>
      </c>
      <c r="H150" s="99">
        <f>TRUNC(E150*F150,2)</f>
        <v>469.52</v>
      </c>
      <c r="I150" s="99">
        <f>TRUNC(E150*G150,2)</f>
        <v>579.07</v>
      </c>
    </row>
    <row r="151" spans="2:9" s="64" customFormat="1" ht="28.5">
      <c r="B151" s="64" t="s">
        <v>661</v>
      </c>
      <c r="C151" s="64" t="s">
        <v>662</v>
      </c>
      <c r="D151" s="60" t="s">
        <v>12</v>
      </c>
      <c r="E151" s="60">
        <v>0.743</v>
      </c>
      <c r="F151" s="60">
        <f>TRUNC(0.25,2)</f>
        <v>0.25</v>
      </c>
      <c r="G151" s="60">
        <f>TRUNC(E151*F151,2)</f>
        <v>0.18</v>
      </c>
      <c r="H151" s="61"/>
      <c r="I151" s="61"/>
    </row>
    <row r="152" spans="2:9" s="64" customFormat="1" ht="14.25">
      <c r="B152" s="64" t="s">
        <v>663</v>
      </c>
      <c r="C152" s="64" t="s">
        <v>664</v>
      </c>
      <c r="D152" s="60" t="s">
        <v>5</v>
      </c>
      <c r="E152" s="60">
        <v>0.025</v>
      </c>
      <c r="F152" s="60">
        <f>TRUNC(12.9,2)</f>
        <v>12.9</v>
      </c>
      <c r="G152" s="60">
        <f>TRUNC(E152*F152,2)</f>
        <v>0.32</v>
      </c>
      <c r="H152" s="61"/>
      <c r="I152" s="61"/>
    </row>
    <row r="153" spans="2:9" s="64" customFormat="1" ht="14.25">
      <c r="B153" s="64" t="s">
        <v>665</v>
      </c>
      <c r="C153" s="64" t="s">
        <v>666</v>
      </c>
      <c r="D153" s="60" t="s">
        <v>6</v>
      </c>
      <c r="E153" s="60">
        <v>0.1278</v>
      </c>
      <c r="F153" s="60">
        <f>TRUNC(26.7,2)</f>
        <v>26.7</v>
      </c>
      <c r="G153" s="60">
        <f>TRUNC(E153*F153,2)</f>
        <v>3.41</v>
      </c>
      <c r="H153" s="61"/>
      <c r="I153" s="61"/>
    </row>
    <row r="154" spans="2:9" s="64" customFormat="1" ht="14.25">
      <c r="B154" s="64" t="s">
        <v>667</v>
      </c>
      <c r="C154" s="64" t="s">
        <v>668</v>
      </c>
      <c r="D154" s="60" t="s">
        <v>6</v>
      </c>
      <c r="E154" s="60">
        <v>0.0209</v>
      </c>
      <c r="F154" s="60">
        <f>TRUNC(20.65,2)</f>
        <v>20.65</v>
      </c>
      <c r="G154" s="60">
        <f>TRUNC(E154*F154,2)</f>
        <v>0.43</v>
      </c>
      <c r="H154" s="61"/>
      <c r="I154" s="61"/>
    </row>
    <row r="155" spans="2:9" s="64" customFormat="1" ht="28.5">
      <c r="B155" s="64" t="s">
        <v>669</v>
      </c>
      <c r="C155" s="64" t="s">
        <v>670</v>
      </c>
      <c r="D155" s="60" t="s">
        <v>5</v>
      </c>
      <c r="E155" s="60">
        <v>1</v>
      </c>
      <c r="F155" s="60">
        <f>TRUNC(7.36,2)</f>
        <v>7.36</v>
      </c>
      <c r="G155" s="60">
        <f>TRUNC(E155*F155,2)</f>
        <v>7.36</v>
      </c>
      <c r="H155" s="61"/>
      <c r="I155" s="61"/>
    </row>
    <row r="156" spans="4:9" s="64" customFormat="1" ht="14.25">
      <c r="D156" s="60"/>
      <c r="E156" s="60" t="s">
        <v>7</v>
      </c>
      <c r="F156" s="60"/>
      <c r="G156" s="60">
        <f>TRUNC(SUM(G151:G155),2)</f>
        <v>11.7</v>
      </c>
      <c r="H156" s="61"/>
      <c r="I156" s="61"/>
    </row>
    <row r="157" spans="1:9" s="39" customFormat="1" ht="15.75">
      <c r="A157" s="48" t="s">
        <v>52</v>
      </c>
      <c r="B157" s="50"/>
      <c r="C157" s="49"/>
      <c r="D157" s="50"/>
      <c r="E157" s="50"/>
      <c r="F157" s="50"/>
      <c r="G157" s="50" t="s">
        <v>191</v>
      </c>
      <c r="H157" s="51">
        <f>H102+H131+H125+H118</f>
        <v>18379.249999999996</v>
      </c>
      <c r="I157" s="51">
        <f>I102+I131+I125+I118+I142+I150</f>
        <v>23353.899999999998</v>
      </c>
    </row>
    <row r="158" spans="1:9" s="38" customFormat="1" ht="15.75">
      <c r="A158" s="38" t="s">
        <v>21</v>
      </c>
      <c r="B158" s="46"/>
      <c r="C158" s="47" t="s">
        <v>67</v>
      </c>
      <c r="D158" s="47"/>
      <c r="E158" s="47"/>
      <c r="F158" s="47"/>
      <c r="G158" s="47"/>
      <c r="H158" s="47"/>
      <c r="I158" s="45"/>
    </row>
    <row r="159" spans="1:9" s="96" customFormat="1" ht="42.75">
      <c r="A159" s="96" t="s">
        <v>54</v>
      </c>
      <c r="B159" s="96" t="s">
        <v>645</v>
      </c>
      <c r="C159" s="117" t="s">
        <v>646</v>
      </c>
      <c r="D159" s="96" t="s">
        <v>0</v>
      </c>
      <c r="E159" s="96">
        <v>118.94</v>
      </c>
      <c r="F159" s="97">
        <f>TRUNC(G166,2)</f>
        <v>160.8</v>
      </c>
      <c r="G159" s="98">
        <f>TRUNC(F159*1.2338,2)</f>
        <v>198.39</v>
      </c>
      <c r="H159" s="99">
        <f>TRUNC(E159*F159,2)</f>
        <v>19125.55</v>
      </c>
      <c r="I159" s="99">
        <f>TRUNC(E159*G159,2)</f>
        <v>23596.5</v>
      </c>
    </row>
    <row r="160" spans="2:9" s="64" customFormat="1" ht="28.5">
      <c r="B160" s="64" t="s">
        <v>132</v>
      </c>
      <c r="C160" s="105" t="s">
        <v>133</v>
      </c>
      <c r="D160" s="64" t="s">
        <v>3</v>
      </c>
      <c r="E160" s="64">
        <v>1.68</v>
      </c>
      <c r="F160" s="65">
        <f>TRUNC(59.31,2)</f>
        <v>59.31</v>
      </c>
      <c r="G160" s="60">
        <f aca="true" t="shared" si="6" ref="G160:G165">TRUNC(E160*F160,2)</f>
        <v>99.64</v>
      </c>
      <c r="H160" s="61"/>
      <c r="I160" s="61"/>
    </row>
    <row r="161" spans="1:12" s="80" customFormat="1" ht="30">
      <c r="A161" s="77"/>
      <c r="B161" s="78" t="s">
        <v>142</v>
      </c>
      <c r="C161" s="73" t="s">
        <v>143</v>
      </c>
      <c r="D161" s="79" t="s">
        <v>0</v>
      </c>
      <c r="E161" s="75">
        <v>1.05</v>
      </c>
      <c r="F161" s="75">
        <v>22.82</v>
      </c>
      <c r="G161" s="75">
        <f t="shared" si="6"/>
        <v>23.96</v>
      </c>
      <c r="H161" s="75"/>
      <c r="I161" s="76"/>
      <c r="K161" s="81"/>
      <c r="L161" s="78">
        <v>7158</v>
      </c>
    </row>
    <row r="162" spans="2:9" s="64" customFormat="1" ht="14.25">
      <c r="B162" s="64" t="s">
        <v>134</v>
      </c>
      <c r="C162" s="105" t="s">
        <v>135</v>
      </c>
      <c r="D162" s="64" t="s">
        <v>5</v>
      </c>
      <c r="E162" s="64">
        <v>0.15</v>
      </c>
      <c r="F162" s="65">
        <f>TRUNC(11.76,2)</f>
        <v>11.76</v>
      </c>
      <c r="G162" s="60">
        <f t="shared" si="6"/>
        <v>1.76</v>
      </c>
      <c r="H162" s="61"/>
      <c r="I162" s="61"/>
    </row>
    <row r="163" spans="2:9" s="64" customFormat="1" ht="14.25">
      <c r="B163" s="64" t="s">
        <v>136</v>
      </c>
      <c r="C163" s="105" t="s">
        <v>137</v>
      </c>
      <c r="D163" s="64" t="s">
        <v>5</v>
      </c>
      <c r="E163" s="64">
        <v>0.07</v>
      </c>
      <c r="F163" s="65">
        <f>TRUNC(13.6,2)</f>
        <v>13.6</v>
      </c>
      <c r="G163" s="60">
        <f t="shared" si="6"/>
        <v>0.95</v>
      </c>
      <c r="H163" s="61"/>
      <c r="I163" s="61"/>
    </row>
    <row r="164" spans="2:9" s="64" customFormat="1" ht="14.25">
      <c r="B164" s="64" t="s">
        <v>138</v>
      </c>
      <c r="C164" s="105" t="s">
        <v>139</v>
      </c>
      <c r="D164" s="64" t="s">
        <v>6</v>
      </c>
      <c r="E164" s="64">
        <v>1</v>
      </c>
      <c r="F164" s="65">
        <f>TRUNC(21.14,2)</f>
        <v>21.14</v>
      </c>
      <c r="G164" s="60">
        <f t="shared" si="6"/>
        <v>21.14</v>
      </c>
      <c r="H164" s="61"/>
      <c r="I164" s="61"/>
    </row>
    <row r="165" spans="2:9" s="64" customFormat="1" ht="14.25">
      <c r="B165" s="64" t="s">
        <v>140</v>
      </c>
      <c r="C165" s="105" t="s">
        <v>141</v>
      </c>
      <c r="D165" s="64" t="s">
        <v>6</v>
      </c>
      <c r="E165" s="64">
        <v>0.5</v>
      </c>
      <c r="F165" s="65">
        <f>TRUNC(26.7,2)</f>
        <v>26.7</v>
      </c>
      <c r="G165" s="60">
        <f t="shared" si="6"/>
        <v>13.35</v>
      </c>
      <c r="H165" s="61"/>
      <c r="I165" s="61"/>
    </row>
    <row r="166" spans="3:9" s="64" customFormat="1" ht="14.25">
      <c r="C166" s="105"/>
      <c r="E166" s="64" t="s">
        <v>7</v>
      </c>
      <c r="F166" s="65"/>
      <c r="G166" s="60">
        <f>TRUNC(SUM(G160:G165),2)</f>
        <v>160.8</v>
      </c>
      <c r="H166" s="61"/>
      <c r="I166" s="61"/>
    </row>
    <row r="167" spans="1:9" s="96" customFormat="1" ht="85.5">
      <c r="A167" s="96" t="s">
        <v>192</v>
      </c>
      <c r="B167" s="96" t="s">
        <v>469</v>
      </c>
      <c r="C167" s="117" t="s">
        <v>470</v>
      </c>
      <c r="D167" s="96" t="s">
        <v>0</v>
      </c>
      <c r="E167" s="96">
        <v>1.88</v>
      </c>
      <c r="F167" s="97">
        <f>TRUNC(G173,2)</f>
        <v>531.94</v>
      </c>
      <c r="G167" s="98">
        <f>TRUNC(F167*1.2338,2)</f>
        <v>656.3</v>
      </c>
      <c r="H167" s="99">
        <f>TRUNC(E167*F167,2)</f>
        <v>1000.04</v>
      </c>
      <c r="I167" s="99">
        <f>TRUNC(E167*G167,2)</f>
        <v>1233.84</v>
      </c>
    </row>
    <row r="168" spans="2:9" s="64" customFormat="1" ht="14.25">
      <c r="B168" s="64" t="s">
        <v>471</v>
      </c>
      <c r="C168" s="105" t="s">
        <v>472</v>
      </c>
      <c r="D168" s="64" t="s">
        <v>5</v>
      </c>
      <c r="E168" s="64">
        <v>6.8999999999999995</v>
      </c>
      <c r="F168" s="65">
        <f>TRUNC(5.23,2)</f>
        <v>5.23</v>
      </c>
      <c r="G168" s="60">
        <f>TRUNC(E168*F168,2)</f>
        <v>36.08</v>
      </c>
      <c r="H168" s="61"/>
      <c r="I168" s="61"/>
    </row>
    <row r="169" spans="1:12" s="80" customFormat="1" ht="30">
      <c r="A169" s="77"/>
      <c r="B169" s="78" t="s">
        <v>142</v>
      </c>
      <c r="C169" s="73" t="s">
        <v>143</v>
      </c>
      <c r="D169" s="79" t="s">
        <v>0</v>
      </c>
      <c r="E169" s="75">
        <v>1.05</v>
      </c>
      <c r="F169" s="75">
        <v>24.35</v>
      </c>
      <c r="G169" s="75">
        <f>TRUNC(E169*F169,2)</f>
        <v>25.56</v>
      </c>
      <c r="H169" s="75"/>
      <c r="I169" s="76"/>
      <c r="K169" s="81"/>
      <c r="L169" s="78">
        <v>7158</v>
      </c>
    </row>
    <row r="170" spans="2:9" s="64" customFormat="1" ht="14.25">
      <c r="B170" s="64" t="s">
        <v>180</v>
      </c>
      <c r="C170" s="105" t="s">
        <v>473</v>
      </c>
      <c r="D170" s="64" t="s">
        <v>3</v>
      </c>
      <c r="E170" s="64">
        <v>6.8999999999999995</v>
      </c>
      <c r="F170" s="65">
        <f>TRUNC(46.69,2)</f>
        <v>46.69</v>
      </c>
      <c r="G170" s="60">
        <f>TRUNC(E170*F170,2)</f>
        <v>322.16</v>
      </c>
      <c r="H170" s="61"/>
      <c r="I170" s="61"/>
    </row>
    <row r="171" spans="2:9" s="64" customFormat="1" ht="14.25">
      <c r="B171" s="64" t="s">
        <v>248</v>
      </c>
      <c r="C171" s="105" t="s">
        <v>249</v>
      </c>
      <c r="D171" s="64" t="s">
        <v>6</v>
      </c>
      <c r="E171" s="64">
        <v>4.12</v>
      </c>
      <c r="F171" s="65">
        <f>TRUNC(21.49,2)</f>
        <v>21.49</v>
      </c>
      <c r="G171" s="60">
        <f>TRUNC(E171*F171,2)</f>
        <v>88.53</v>
      </c>
      <c r="H171" s="61"/>
      <c r="I171" s="61"/>
    </row>
    <row r="172" spans="2:9" s="64" customFormat="1" ht="14.25">
      <c r="B172" s="64" t="s">
        <v>209</v>
      </c>
      <c r="C172" s="105" t="s">
        <v>210</v>
      </c>
      <c r="D172" s="64" t="s">
        <v>6</v>
      </c>
      <c r="E172" s="64">
        <v>4.12</v>
      </c>
      <c r="F172" s="65">
        <f>TRUNC(14.47,2)</f>
        <v>14.47</v>
      </c>
      <c r="G172" s="60">
        <f>TRUNC(E172*F172,2)</f>
        <v>59.61</v>
      </c>
      <c r="H172" s="61"/>
      <c r="I172" s="61"/>
    </row>
    <row r="173" spans="3:9" s="64" customFormat="1" ht="14.25">
      <c r="C173" s="105"/>
      <c r="E173" s="64" t="s">
        <v>7</v>
      </c>
      <c r="F173" s="65"/>
      <c r="G173" s="60">
        <f>TRUNC(SUM(G168:G172),2)</f>
        <v>531.94</v>
      </c>
      <c r="H173" s="61"/>
      <c r="I173" s="61"/>
    </row>
    <row r="174" spans="1:9" s="96" customFormat="1" ht="57">
      <c r="A174" s="96" t="s">
        <v>474</v>
      </c>
      <c r="B174" s="96" t="s">
        <v>247</v>
      </c>
      <c r="C174" s="96" t="s">
        <v>647</v>
      </c>
      <c r="D174" s="96" t="s">
        <v>3</v>
      </c>
      <c r="E174" s="96">
        <v>25.4</v>
      </c>
      <c r="F174" s="97">
        <f>TRUNC(G178,2)</f>
        <v>77.57</v>
      </c>
      <c r="G174" s="98">
        <f>TRUNC(F174*1.2338,2)</f>
        <v>95.7</v>
      </c>
      <c r="H174" s="99">
        <f>TRUNC(E174*F174,2)</f>
        <v>1970.27</v>
      </c>
      <c r="I174" s="99">
        <f>TRUNC(E174*G174,2)</f>
        <v>2430.78</v>
      </c>
    </row>
    <row r="175" spans="2:9" s="64" customFormat="1" ht="14.25">
      <c r="B175" s="64" t="s">
        <v>180</v>
      </c>
      <c r="C175" s="64" t="s">
        <v>473</v>
      </c>
      <c r="D175" s="64" t="s">
        <v>3</v>
      </c>
      <c r="E175" s="64">
        <v>1.265</v>
      </c>
      <c r="F175" s="64">
        <f>TRUNC(46.69,2)</f>
        <v>46.69</v>
      </c>
      <c r="G175" s="60">
        <f>TRUNC(E175*F175,2)</f>
        <v>59.06</v>
      </c>
      <c r="H175" s="61"/>
      <c r="I175" s="61"/>
    </row>
    <row r="176" spans="2:9" s="64" customFormat="1" ht="14.25">
      <c r="B176" s="64" t="s">
        <v>248</v>
      </c>
      <c r="C176" s="64" t="s">
        <v>249</v>
      </c>
      <c r="D176" s="64" t="s">
        <v>6</v>
      </c>
      <c r="E176" s="64">
        <v>0.515</v>
      </c>
      <c r="F176" s="64">
        <f>TRUNC(21.49,2)</f>
        <v>21.49</v>
      </c>
      <c r="G176" s="60">
        <f>TRUNC(E176*F176,2)</f>
        <v>11.06</v>
      </c>
      <c r="H176" s="61"/>
      <c r="I176" s="61"/>
    </row>
    <row r="177" spans="2:9" s="64" customFormat="1" ht="14.25">
      <c r="B177" s="64" t="s">
        <v>209</v>
      </c>
      <c r="C177" s="64" t="s">
        <v>210</v>
      </c>
      <c r="D177" s="64" t="s">
        <v>6</v>
      </c>
      <c r="E177" s="64">
        <v>0.515</v>
      </c>
      <c r="F177" s="64">
        <f>TRUNC(14.47,2)</f>
        <v>14.47</v>
      </c>
      <c r="G177" s="60">
        <f>TRUNC(E177*F177,2)</f>
        <v>7.45</v>
      </c>
      <c r="H177" s="61"/>
      <c r="I177" s="61"/>
    </row>
    <row r="178" spans="5:9" s="64" customFormat="1" ht="14.25">
      <c r="E178" s="64" t="s">
        <v>7</v>
      </c>
      <c r="G178" s="60">
        <f>TRUNC(SUM(G175:G177),2)</f>
        <v>77.57</v>
      </c>
      <c r="H178" s="61"/>
      <c r="I178" s="61"/>
    </row>
    <row r="179" spans="1:9" s="39" customFormat="1" ht="15.75">
      <c r="A179" s="48" t="s">
        <v>52</v>
      </c>
      <c r="B179" s="50"/>
      <c r="C179" s="49"/>
      <c r="D179" s="50"/>
      <c r="E179" s="50"/>
      <c r="F179" s="50"/>
      <c r="G179" s="50" t="s">
        <v>55</v>
      </c>
      <c r="H179" s="53">
        <f>H159+H174</f>
        <v>21095.82</v>
      </c>
      <c r="I179" s="53">
        <f>I159+I174</f>
        <v>26027.28</v>
      </c>
    </row>
    <row r="180" spans="1:9" s="38" customFormat="1" ht="15.75">
      <c r="A180" s="38" t="s">
        <v>22</v>
      </c>
      <c r="B180" s="46"/>
      <c r="C180" s="47" t="s">
        <v>68</v>
      </c>
      <c r="D180" s="47"/>
      <c r="E180" s="47"/>
      <c r="F180" s="47"/>
      <c r="G180" s="47"/>
      <c r="H180" s="47"/>
      <c r="I180" s="45"/>
    </row>
    <row r="181" spans="1:9" s="96" customFormat="1" ht="57">
      <c r="A181" s="96" t="s">
        <v>13</v>
      </c>
      <c r="B181" s="96" t="s">
        <v>250</v>
      </c>
      <c r="C181" s="96" t="s">
        <v>181</v>
      </c>
      <c r="D181" s="98" t="s">
        <v>0</v>
      </c>
      <c r="E181" s="98">
        <v>120.82</v>
      </c>
      <c r="F181" s="98">
        <f>TRUNC(G187,2)</f>
        <v>16.73</v>
      </c>
      <c r="G181" s="98">
        <f>TRUNC(F181*1.2338,2)</f>
        <v>20.64</v>
      </c>
      <c r="H181" s="99">
        <f>TRUNC(E181*F181,2)</f>
        <v>2021.31</v>
      </c>
      <c r="I181" s="99">
        <f>TRUNC(E181*G181,2)</f>
        <v>2493.72</v>
      </c>
    </row>
    <row r="182" spans="2:9" s="64" customFormat="1" ht="14.25">
      <c r="B182" s="64" t="s">
        <v>58</v>
      </c>
      <c r="C182" s="64" t="s">
        <v>94</v>
      </c>
      <c r="D182" s="60" t="s">
        <v>48</v>
      </c>
      <c r="E182" s="60">
        <v>0.035</v>
      </c>
      <c r="F182" s="60">
        <f>TRUNC(178.5,2)</f>
        <v>178.5</v>
      </c>
      <c r="G182" s="60">
        <f>TRUNC(E182*F182,2)</f>
        <v>6.24</v>
      </c>
      <c r="H182" s="61"/>
      <c r="I182" s="61"/>
    </row>
    <row r="183" spans="2:9" s="64" customFormat="1" ht="14.25">
      <c r="B183" s="64" t="s">
        <v>59</v>
      </c>
      <c r="C183" s="64" t="s">
        <v>95</v>
      </c>
      <c r="D183" s="60" t="s">
        <v>5</v>
      </c>
      <c r="E183" s="60">
        <v>0.025</v>
      </c>
      <c r="F183" s="60">
        <f>TRUNC(20.61,2)</f>
        <v>20.61</v>
      </c>
      <c r="G183" s="60">
        <f>TRUNC(E183*F183,2)</f>
        <v>0.51</v>
      </c>
      <c r="H183" s="61"/>
      <c r="I183" s="61"/>
    </row>
    <row r="184" spans="2:9" s="64" customFormat="1" ht="14.25">
      <c r="B184" s="64" t="s">
        <v>49</v>
      </c>
      <c r="C184" s="64" t="s">
        <v>96</v>
      </c>
      <c r="D184" s="60" t="s">
        <v>48</v>
      </c>
      <c r="E184" s="60">
        <v>0.05</v>
      </c>
      <c r="F184" s="60">
        <f>TRUNC(59.78,2)</f>
        <v>59.78</v>
      </c>
      <c r="G184" s="60">
        <f>TRUNC(E184*F184,2)</f>
        <v>2.98</v>
      </c>
      <c r="H184" s="61"/>
      <c r="I184" s="61"/>
    </row>
    <row r="185" spans="2:9" s="64" customFormat="1" ht="14.25">
      <c r="B185" s="64" t="s">
        <v>209</v>
      </c>
      <c r="C185" s="64" t="s">
        <v>210</v>
      </c>
      <c r="D185" s="60" t="s">
        <v>6</v>
      </c>
      <c r="E185" s="60">
        <v>0.12875</v>
      </c>
      <c r="F185" s="60">
        <f>TRUNC(14.47,2)</f>
        <v>14.47</v>
      </c>
      <c r="G185" s="60">
        <f>TRUNC(E185*F185,2)</f>
        <v>1.86</v>
      </c>
      <c r="H185" s="61"/>
      <c r="I185" s="61"/>
    </row>
    <row r="186" spans="2:9" s="64" customFormat="1" ht="14.25">
      <c r="B186" s="64" t="s">
        <v>251</v>
      </c>
      <c r="C186" s="64" t="s">
        <v>252</v>
      </c>
      <c r="D186" s="60" t="s">
        <v>6</v>
      </c>
      <c r="E186" s="60">
        <v>0.2575</v>
      </c>
      <c r="F186" s="60">
        <f>TRUNC(19.97,2)</f>
        <v>19.97</v>
      </c>
      <c r="G186" s="60">
        <f>TRUNC(E186*F186,2)</f>
        <v>5.14</v>
      </c>
      <c r="H186" s="61"/>
      <c r="I186" s="61"/>
    </row>
    <row r="187" spans="4:9" s="64" customFormat="1" ht="14.25">
      <c r="D187" s="60"/>
      <c r="E187" s="60" t="s">
        <v>7</v>
      </c>
      <c r="F187" s="60"/>
      <c r="G187" s="60">
        <f>TRUNC(SUM(G182:G186),2)</f>
        <v>16.73</v>
      </c>
      <c r="H187" s="61"/>
      <c r="I187" s="61"/>
    </row>
    <row r="188" spans="1:12" s="96" customFormat="1" ht="42.75">
      <c r="A188" s="96" t="s">
        <v>14</v>
      </c>
      <c r="B188" s="96" t="s">
        <v>253</v>
      </c>
      <c r="C188" s="96" t="s">
        <v>182</v>
      </c>
      <c r="D188" s="96" t="s">
        <v>0</v>
      </c>
      <c r="E188" s="96">
        <v>216.9</v>
      </c>
      <c r="F188" s="97">
        <f>TRUNC(G193,2)</f>
        <v>11.23</v>
      </c>
      <c r="G188" s="98">
        <f>TRUNC(F188*1.2338,2)</f>
        <v>13.85</v>
      </c>
      <c r="H188" s="99">
        <f>TRUNC(E188*F188,2)</f>
        <v>2435.78</v>
      </c>
      <c r="I188" s="99">
        <f>TRUNC(E188*G188,2)</f>
        <v>3004.06</v>
      </c>
      <c r="L188" s="96">
        <v>9.9</v>
      </c>
    </row>
    <row r="189" spans="2:9" s="64" customFormat="1" ht="14.25">
      <c r="B189" s="64" t="s">
        <v>183</v>
      </c>
      <c r="C189" s="64" t="s">
        <v>124</v>
      </c>
      <c r="D189" s="64" t="s">
        <v>48</v>
      </c>
      <c r="E189" s="64">
        <v>0.0775</v>
      </c>
      <c r="F189" s="65">
        <f>TRUNC(30.53,2)</f>
        <v>30.53</v>
      </c>
      <c r="G189" s="60">
        <f>TRUNC(E189*F189,2)</f>
        <v>2.36</v>
      </c>
      <c r="H189" s="61"/>
      <c r="I189" s="61"/>
    </row>
    <row r="190" spans="2:9" s="64" customFormat="1" ht="14.25">
      <c r="B190" s="64" t="s">
        <v>184</v>
      </c>
      <c r="C190" s="64" t="s">
        <v>131</v>
      </c>
      <c r="D190" s="64" t="s">
        <v>12</v>
      </c>
      <c r="E190" s="64">
        <v>0.5</v>
      </c>
      <c r="F190" s="65">
        <f>TRUNC(0.94,2)</f>
        <v>0.94</v>
      </c>
      <c r="G190" s="60">
        <f>TRUNC(E190*F190,2)</f>
        <v>0.47</v>
      </c>
      <c r="H190" s="61"/>
      <c r="I190" s="61"/>
    </row>
    <row r="191" spans="2:9" s="64" customFormat="1" ht="14.25">
      <c r="B191" s="64" t="s">
        <v>209</v>
      </c>
      <c r="C191" s="64" t="s">
        <v>210</v>
      </c>
      <c r="D191" s="64" t="s">
        <v>6</v>
      </c>
      <c r="E191" s="64">
        <v>0.1545</v>
      </c>
      <c r="F191" s="65">
        <f>TRUNC(14.47,2)</f>
        <v>14.47</v>
      </c>
      <c r="G191" s="60">
        <f>TRUNC(E191*F191,2)</f>
        <v>2.23</v>
      </c>
      <c r="H191" s="61"/>
      <c r="I191" s="61"/>
    </row>
    <row r="192" spans="2:9" s="64" customFormat="1" ht="14.25">
      <c r="B192" s="64" t="s">
        <v>251</v>
      </c>
      <c r="C192" s="64" t="s">
        <v>252</v>
      </c>
      <c r="D192" s="64" t="s">
        <v>6</v>
      </c>
      <c r="E192" s="64">
        <v>0.309</v>
      </c>
      <c r="F192" s="65">
        <f>TRUNC(19.97,2)</f>
        <v>19.97</v>
      </c>
      <c r="G192" s="60">
        <f>TRUNC(E192*F192,2)</f>
        <v>6.17</v>
      </c>
      <c r="H192" s="61"/>
      <c r="I192" s="61"/>
    </row>
    <row r="193" spans="5:9" s="64" customFormat="1" ht="14.25">
      <c r="E193" s="64" t="s">
        <v>7</v>
      </c>
      <c r="F193" s="65"/>
      <c r="G193" s="60">
        <f>TRUNC(SUM(G189:G192),2)</f>
        <v>11.23</v>
      </c>
      <c r="H193" s="61"/>
      <c r="I193" s="61"/>
    </row>
    <row r="194" spans="1:9" s="96" customFormat="1" ht="57">
      <c r="A194" s="96" t="s">
        <v>15</v>
      </c>
      <c r="B194" s="96" t="s">
        <v>254</v>
      </c>
      <c r="C194" s="96" t="s">
        <v>185</v>
      </c>
      <c r="D194" s="96" t="s">
        <v>0</v>
      </c>
      <c r="E194" s="96">
        <v>4.78</v>
      </c>
      <c r="F194" s="97">
        <f>TRUNC(G202,2)</f>
        <v>53.94</v>
      </c>
      <c r="G194" s="98">
        <f>TRUNC(F194*1.2338,2)</f>
        <v>66.55</v>
      </c>
      <c r="H194" s="99">
        <f>TRUNC(E194*F194,2)</f>
        <v>257.83</v>
      </c>
      <c r="I194" s="99">
        <f>TRUNC(E194*G194,2)</f>
        <v>318.1</v>
      </c>
    </row>
    <row r="195" spans="2:9" s="64" customFormat="1" ht="14.25">
      <c r="B195" s="64" t="s">
        <v>186</v>
      </c>
      <c r="C195" s="64" t="s">
        <v>125</v>
      </c>
      <c r="D195" s="64" t="s">
        <v>12</v>
      </c>
      <c r="E195" s="64">
        <v>0.24</v>
      </c>
      <c r="F195" s="65">
        <f>TRUNC(5.9,2)</f>
        <v>5.9</v>
      </c>
      <c r="G195" s="60">
        <f aca="true" t="shared" si="7" ref="G195:G201">TRUNC(E195*F195,2)</f>
        <v>1.41</v>
      </c>
      <c r="H195" s="61"/>
      <c r="I195" s="61"/>
    </row>
    <row r="196" spans="2:9" s="64" customFormat="1" ht="14.25">
      <c r="B196" s="64" t="s">
        <v>183</v>
      </c>
      <c r="C196" s="64" t="s">
        <v>124</v>
      </c>
      <c r="D196" s="64" t="s">
        <v>48</v>
      </c>
      <c r="E196" s="64">
        <v>0.0775</v>
      </c>
      <c r="F196" s="65">
        <f>TRUNC(30.53,2)</f>
        <v>30.53</v>
      </c>
      <c r="G196" s="60">
        <f t="shared" si="7"/>
        <v>2.36</v>
      </c>
      <c r="H196" s="61"/>
      <c r="I196" s="61"/>
    </row>
    <row r="197" spans="2:9" s="64" customFormat="1" ht="14.25">
      <c r="B197" s="64" t="s">
        <v>255</v>
      </c>
      <c r="C197" s="64" t="s">
        <v>256</v>
      </c>
      <c r="D197" s="64" t="s">
        <v>6</v>
      </c>
      <c r="E197" s="64">
        <v>0.20600000000000002</v>
      </c>
      <c r="F197" s="65">
        <f>TRUNC(15.22,2)</f>
        <v>15.22</v>
      </c>
      <c r="G197" s="60">
        <f t="shared" si="7"/>
        <v>3.13</v>
      </c>
      <c r="H197" s="61"/>
      <c r="I197" s="61"/>
    </row>
    <row r="198" spans="2:9" s="64" customFormat="1" ht="14.25">
      <c r="B198" s="64" t="s">
        <v>251</v>
      </c>
      <c r="C198" s="64" t="s">
        <v>252</v>
      </c>
      <c r="D198" s="64" t="s">
        <v>6</v>
      </c>
      <c r="E198" s="64">
        <v>2.06</v>
      </c>
      <c r="F198" s="65">
        <f>TRUNC(19.97,2)</f>
        <v>19.97</v>
      </c>
      <c r="G198" s="60">
        <f t="shared" si="7"/>
        <v>41.13</v>
      </c>
      <c r="H198" s="61"/>
      <c r="I198" s="61"/>
    </row>
    <row r="199" spans="2:9" s="64" customFormat="1" ht="28.5">
      <c r="B199" s="64" t="s">
        <v>257</v>
      </c>
      <c r="C199" s="64" t="s">
        <v>258</v>
      </c>
      <c r="D199" s="64" t="s">
        <v>6</v>
      </c>
      <c r="E199" s="64">
        <v>0.20600000000000002</v>
      </c>
      <c r="F199" s="65">
        <f>TRUNC(27.64,2)</f>
        <v>27.64</v>
      </c>
      <c r="G199" s="60">
        <f t="shared" si="7"/>
        <v>5.69</v>
      </c>
      <c r="H199" s="61"/>
      <c r="I199" s="61"/>
    </row>
    <row r="200" spans="2:9" s="64" customFormat="1" ht="14.25">
      <c r="B200" s="64" t="s">
        <v>259</v>
      </c>
      <c r="C200" s="64" t="s">
        <v>260</v>
      </c>
      <c r="D200" s="64" t="s">
        <v>6</v>
      </c>
      <c r="E200" s="64">
        <v>0.03</v>
      </c>
      <c r="F200" s="65">
        <f>TRUNC(1.6953,2)</f>
        <v>1.69</v>
      </c>
      <c r="G200" s="60">
        <f t="shared" si="7"/>
        <v>0.05</v>
      </c>
      <c r="H200" s="61"/>
      <c r="I200" s="61"/>
    </row>
    <row r="201" spans="2:9" s="64" customFormat="1" ht="14.25">
      <c r="B201" s="64" t="s">
        <v>261</v>
      </c>
      <c r="C201" s="64" t="s">
        <v>262</v>
      </c>
      <c r="D201" s="64" t="s">
        <v>6</v>
      </c>
      <c r="E201" s="64">
        <v>0.07</v>
      </c>
      <c r="F201" s="65">
        <f>TRUNC(2.493,2)</f>
        <v>2.49</v>
      </c>
      <c r="G201" s="60">
        <f t="shared" si="7"/>
        <v>0.17</v>
      </c>
      <c r="H201" s="61"/>
      <c r="I201" s="61"/>
    </row>
    <row r="202" spans="5:9" s="64" customFormat="1" ht="14.25">
      <c r="E202" s="64" t="s">
        <v>7</v>
      </c>
      <c r="F202" s="65"/>
      <c r="G202" s="60">
        <f>TRUNC(SUM(G195:G201),2)</f>
        <v>53.94</v>
      </c>
      <c r="H202" s="61"/>
      <c r="I202" s="61"/>
    </row>
    <row r="203" spans="1:9" s="96" customFormat="1" ht="42.75">
      <c r="A203" s="96" t="s">
        <v>449</v>
      </c>
      <c r="B203" s="96" t="s">
        <v>589</v>
      </c>
      <c r="C203" s="96" t="s">
        <v>402</v>
      </c>
      <c r="D203" s="96" t="s">
        <v>12</v>
      </c>
      <c r="E203" s="96">
        <v>2</v>
      </c>
      <c r="F203" s="97">
        <f>TRUNC(G207,2)</f>
        <v>31.18</v>
      </c>
      <c r="G203" s="98">
        <f>TRUNC(F203*1.2338,2)</f>
        <v>38.46</v>
      </c>
      <c r="H203" s="99">
        <f>TRUNC(E203*F203,2)</f>
        <v>62.36</v>
      </c>
      <c r="I203" s="99">
        <f>TRUNC(E203*G203,2)</f>
        <v>76.92</v>
      </c>
    </row>
    <row r="204" spans="2:9" s="64" customFormat="1" ht="14.25">
      <c r="B204" s="64" t="s">
        <v>403</v>
      </c>
      <c r="C204" s="64" t="s">
        <v>404</v>
      </c>
      <c r="D204" s="64" t="s">
        <v>48</v>
      </c>
      <c r="E204" s="64">
        <v>0.1</v>
      </c>
      <c r="F204" s="65">
        <f>TRUNC(67.41,2)</f>
        <v>67.41</v>
      </c>
      <c r="G204" s="60">
        <f>TRUNC(E204*F204,2)</f>
        <v>6.74</v>
      </c>
      <c r="H204" s="61"/>
      <c r="I204" s="61"/>
    </row>
    <row r="205" spans="2:9" s="64" customFormat="1" ht="14.25">
      <c r="B205" s="64" t="s">
        <v>405</v>
      </c>
      <c r="C205" s="64" t="s">
        <v>406</v>
      </c>
      <c r="D205" s="64" t="s">
        <v>12</v>
      </c>
      <c r="E205" s="64">
        <v>0.1</v>
      </c>
      <c r="F205" s="65">
        <f>TRUNC(53.82,2)</f>
        <v>53.82</v>
      </c>
      <c r="G205" s="60">
        <f>TRUNC(E205*F205,2)</f>
        <v>5.38</v>
      </c>
      <c r="H205" s="61"/>
      <c r="I205" s="61"/>
    </row>
    <row r="206" spans="2:9" s="64" customFormat="1" ht="28.5">
      <c r="B206" s="64" t="s">
        <v>591</v>
      </c>
      <c r="C206" s="64" t="s">
        <v>592</v>
      </c>
      <c r="D206" s="64" t="s">
        <v>6</v>
      </c>
      <c r="E206" s="64">
        <v>1.545</v>
      </c>
      <c r="F206" s="65">
        <f>TRUNC(12.34,2)</f>
        <v>12.34</v>
      </c>
      <c r="G206" s="60">
        <f>TRUNC(E206*F206,2)</f>
        <v>19.06</v>
      </c>
      <c r="H206" s="61"/>
      <c r="I206" s="61"/>
    </row>
    <row r="207" spans="5:9" s="64" customFormat="1" ht="14.25">
      <c r="E207" s="64" t="s">
        <v>7</v>
      </c>
      <c r="F207" s="65"/>
      <c r="G207" s="60">
        <f>TRUNC(SUM(G204:G206),2)</f>
        <v>31.18</v>
      </c>
      <c r="H207" s="61"/>
      <c r="I207" s="61"/>
    </row>
    <row r="208" spans="1:11" s="96" customFormat="1" ht="71.25">
      <c r="A208" s="96" t="s">
        <v>450</v>
      </c>
      <c r="B208" s="96" t="s">
        <v>590</v>
      </c>
      <c r="C208" s="96" t="s">
        <v>441</v>
      </c>
      <c r="D208" s="96" t="s">
        <v>0</v>
      </c>
      <c r="E208" s="96">
        <v>3.6</v>
      </c>
      <c r="F208" s="97">
        <f>TRUNC(G214,2)</f>
        <v>13.68</v>
      </c>
      <c r="G208" s="98">
        <f>TRUNC(F208*1.2338,2)</f>
        <v>16.87</v>
      </c>
      <c r="H208" s="99">
        <f>TRUNC(E208*F208,2)</f>
        <v>49.24</v>
      </c>
      <c r="I208" s="99">
        <f>TRUNC(E208*G208,2)</f>
        <v>60.73</v>
      </c>
      <c r="K208" s="96">
        <f>15.74*22.2</f>
        <v>349.428</v>
      </c>
    </row>
    <row r="209" spans="2:9" s="64" customFormat="1" ht="14.25">
      <c r="B209" s="64" t="s">
        <v>436</v>
      </c>
      <c r="C209" s="64" t="s">
        <v>437</v>
      </c>
      <c r="D209" s="64" t="s">
        <v>12</v>
      </c>
      <c r="E209" s="64">
        <v>0.5</v>
      </c>
      <c r="F209" s="65">
        <f>TRUNC(0.65,2)</f>
        <v>0.65</v>
      </c>
      <c r="G209" s="60">
        <f>TRUNC(E209*F209,2)</f>
        <v>0.32</v>
      </c>
      <c r="H209" s="61"/>
      <c r="I209" s="61"/>
    </row>
    <row r="210" spans="2:9" s="64" customFormat="1" ht="14.25">
      <c r="B210" s="64" t="s">
        <v>438</v>
      </c>
      <c r="C210" s="64" t="s">
        <v>439</v>
      </c>
      <c r="D210" s="64" t="s">
        <v>48</v>
      </c>
      <c r="E210" s="64">
        <v>0.04</v>
      </c>
      <c r="F210" s="65">
        <f>TRUNC(17.7,2)</f>
        <v>17.7</v>
      </c>
      <c r="G210" s="60">
        <f>TRUNC(E210*F210,2)</f>
        <v>0.7</v>
      </c>
      <c r="H210" s="61"/>
      <c r="I210" s="61"/>
    </row>
    <row r="211" spans="2:9" s="64" customFormat="1" ht="28.5">
      <c r="B211" s="64" t="s">
        <v>442</v>
      </c>
      <c r="C211" s="64" t="s">
        <v>443</v>
      </c>
      <c r="D211" s="64" t="s">
        <v>12</v>
      </c>
      <c r="E211" s="64">
        <v>0.012</v>
      </c>
      <c r="F211" s="65">
        <f>TRUNC(239.93,2)</f>
        <v>239.93</v>
      </c>
      <c r="G211" s="60">
        <f>TRUNC(E211*F211,2)</f>
        <v>2.87</v>
      </c>
      <c r="H211" s="61"/>
      <c r="I211" s="61"/>
    </row>
    <row r="212" spans="2:9" s="64" customFormat="1" ht="14.25">
      <c r="B212" s="64" t="s">
        <v>209</v>
      </c>
      <c r="C212" s="64" t="s">
        <v>210</v>
      </c>
      <c r="D212" s="64" t="s">
        <v>6</v>
      </c>
      <c r="E212" s="64">
        <v>0.18025</v>
      </c>
      <c r="F212" s="65">
        <f>TRUNC(14.47,2)</f>
        <v>14.47</v>
      </c>
      <c r="G212" s="60">
        <f>TRUNC(E212*F212,2)</f>
        <v>2.6</v>
      </c>
      <c r="H212" s="61"/>
      <c r="I212" s="61"/>
    </row>
    <row r="213" spans="2:9" s="64" customFormat="1" ht="14.25">
      <c r="B213" s="64" t="s">
        <v>251</v>
      </c>
      <c r="C213" s="64" t="s">
        <v>252</v>
      </c>
      <c r="D213" s="64" t="s">
        <v>6</v>
      </c>
      <c r="E213" s="64">
        <v>0.3605</v>
      </c>
      <c r="F213" s="65">
        <f>TRUNC(19.97,2)</f>
        <v>19.97</v>
      </c>
      <c r="G213" s="60">
        <f>TRUNC(E213*F213,2)</f>
        <v>7.19</v>
      </c>
      <c r="H213" s="61"/>
      <c r="I213" s="61"/>
    </row>
    <row r="214" spans="5:9" s="64" customFormat="1" ht="14.25">
      <c r="E214" s="64" t="s">
        <v>7</v>
      </c>
      <c r="F214" s="65"/>
      <c r="G214" s="60">
        <f>TRUNC(SUM(G209:G213),2)</f>
        <v>13.68</v>
      </c>
      <c r="H214" s="61"/>
      <c r="I214" s="61"/>
    </row>
    <row r="215" spans="1:9" s="39" customFormat="1" ht="15.75">
      <c r="A215" s="48" t="s">
        <v>52</v>
      </c>
      <c r="B215" s="50"/>
      <c r="C215" s="49"/>
      <c r="D215" s="50"/>
      <c r="E215" s="50"/>
      <c r="F215" s="50" t="s">
        <v>57</v>
      </c>
      <c r="G215" s="50"/>
      <c r="H215" s="51">
        <f>H194+H188+H181</f>
        <v>4714.92</v>
      </c>
      <c r="I215" s="52">
        <f>I194+I188+I181+I208+I203</f>
        <v>5953.529999999999</v>
      </c>
    </row>
    <row r="216" spans="1:9" s="38" customFormat="1" ht="15.75">
      <c r="A216" s="38" t="s">
        <v>23</v>
      </c>
      <c r="B216" s="46"/>
      <c r="C216" s="47" t="s">
        <v>371</v>
      </c>
      <c r="D216" s="47"/>
      <c r="E216" s="47"/>
      <c r="F216" s="47"/>
      <c r="G216" s="47"/>
      <c r="H216" s="47"/>
      <c r="I216" s="45"/>
    </row>
    <row r="217" spans="1:9" s="96" customFormat="1" ht="28.5">
      <c r="A217" s="96" t="s">
        <v>193</v>
      </c>
      <c r="B217" s="96" t="s">
        <v>593</v>
      </c>
      <c r="C217" s="96" t="s">
        <v>280</v>
      </c>
      <c r="D217" s="96" t="s">
        <v>12</v>
      </c>
      <c r="E217" s="96">
        <v>2</v>
      </c>
      <c r="F217" s="97">
        <f>TRUNC(G219,2)</f>
        <v>598.72</v>
      </c>
      <c r="G217" s="98">
        <f>TRUNC(F217*1.2338,2)</f>
        <v>738.7</v>
      </c>
      <c r="H217" s="99">
        <f>TRUNC(F217*E217,2)</f>
        <v>1197.44</v>
      </c>
      <c r="I217" s="99">
        <f>TRUNC(E217*G217,2)</f>
        <v>1477.4</v>
      </c>
    </row>
    <row r="218" spans="2:9" s="64" customFormat="1" ht="14.25">
      <c r="B218" s="64" t="s">
        <v>281</v>
      </c>
      <c r="C218" s="64" t="s">
        <v>282</v>
      </c>
      <c r="D218" s="64" t="s">
        <v>12</v>
      </c>
      <c r="E218" s="64">
        <v>1</v>
      </c>
      <c r="F218" s="65">
        <f>TRUNC(598.72,2)</f>
        <v>598.72</v>
      </c>
      <c r="G218" s="60">
        <f>TRUNC(E218*F218,2)</f>
        <v>598.72</v>
      </c>
      <c r="H218" s="60"/>
      <c r="I218" s="61"/>
    </row>
    <row r="219" spans="5:9" s="64" customFormat="1" ht="14.25">
      <c r="E219" s="64" t="s">
        <v>7</v>
      </c>
      <c r="F219" s="65"/>
      <c r="G219" s="60">
        <f>TRUNC(SUM(G218:G218),2)</f>
        <v>598.72</v>
      </c>
      <c r="H219" s="60"/>
      <c r="I219" s="61"/>
    </row>
    <row r="220" spans="1:9" s="96" customFormat="1" ht="57">
      <c r="A220" s="96" t="s">
        <v>194</v>
      </c>
      <c r="B220" s="96" t="s">
        <v>594</v>
      </c>
      <c r="C220" s="96" t="s">
        <v>284</v>
      </c>
      <c r="D220" s="96" t="s">
        <v>12</v>
      </c>
      <c r="E220" s="96">
        <v>2</v>
      </c>
      <c r="F220" s="97">
        <f>TRUNC(G222,2)</f>
        <v>127.1</v>
      </c>
      <c r="G220" s="98">
        <f>TRUNC(F220*1.2338,2)</f>
        <v>156.81</v>
      </c>
      <c r="H220" s="99">
        <f>TRUNC(F220*E220,2)</f>
        <v>254.2</v>
      </c>
      <c r="I220" s="99">
        <f>TRUNC(E220*G220,2)</f>
        <v>313.62</v>
      </c>
    </row>
    <row r="221" spans="2:9" s="64" customFormat="1" ht="28.5">
      <c r="B221" s="64" t="s">
        <v>591</v>
      </c>
      <c r="C221" s="64" t="s">
        <v>592</v>
      </c>
      <c r="D221" s="64" t="s">
        <v>6</v>
      </c>
      <c r="E221" s="64">
        <v>10.3</v>
      </c>
      <c r="F221" s="65">
        <f>TRUNC(12.34,2)</f>
        <v>12.34</v>
      </c>
      <c r="G221" s="60">
        <f>TRUNC(E221*F221,2)</f>
        <v>127.1</v>
      </c>
      <c r="H221" s="60"/>
      <c r="I221" s="61"/>
    </row>
    <row r="222" spans="5:9" s="64" customFormat="1" ht="14.25">
      <c r="E222" s="64" t="s">
        <v>7</v>
      </c>
      <c r="F222" s="65"/>
      <c r="G222" s="60">
        <f>TRUNC(SUM(G221:G221),2)</f>
        <v>127.1</v>
      </c>
      <c r="H222" s="60"/>
      <c r="I222" s="61"/>
    </row>
    <row r="223" spans="1:9" s="96" customFormat="1" ht="28.5">
      <c r="A223" s="96" t="s">
        <v>375</v>
      </c>
      <c r="B223" s="96" t="s">
        <v>595</v>
      </c>
      <c r="C223" s="96" t="s">
        <v>288</v>
      </c>
      <c r="D223" s="96" t="s">
        <v>12</v>
      </c>
      <c r="E223" s="96">
        <v>6</v>
      </c>
      <c r="F223" s="97">
        <f>TRUNC(G226,2)</f>
        <v>40.24</v>
      </c>
      <c r="G223" s="98">
        <f>TRUNC(F223*1.2338,2)</f>
        <v>49.64</v>
      </c>
      <c r="H223" s="99">
        <f>TRUNC(F223*E223,2)</f>
        <v>241.44</v>
      </c>
      <c r="I223" s="99">
        <f>TRUNC(E223*G223,2)</f>
        <v>297.84</v>
      </c>
    </row>
    <row r="224" spans="2:9" s="64" customFormat="1" ht="14.25">
      <c r="B224" s="64" t="s">
        <v>289</v>
      </c>
      <c r="C224" s="64" t="s">
        <v>290</v>
      </c>
      <c r="D224" s="64" t="s">
        <v>12</v>
      </c>
      <c r="E224" s="64">
        <v>1</v>
      </c>
      <c r="F224" s="65">
        <f>TRUNC(36.13,2)</f>
        <v>36.13</v>
      </c>
      <c r="G224" s="60">
        <f>TRUNC(E224*F224,2)</f>
        <v>36.13</v>
      </c>
      <c r="H224" s="60"/>
      <c r="I224" s="61"/>
    </row>
    <row r="225" spans="2:9" s="64" customFormat="1" ht="14.25">
      <c r="B225" s="64" t="s">
        <v>215</v>
      </c>
      <c r="C225" s="64" t="s">
        <v>216</v>
      </c>
      <c r="D225" s="64" t="s">
        <v>6</v>
      </c>
      <c r="E225" s="64">
        <v>0.20600000000000002</v>
      </c>
      <c r="F225" s="65">
        <f>TRUNC(19.97,2)</f>
        <v>19.97</v>
      </c>
      <c r="G225" s="60">
        <f>TRUNC(E225*F225,2)</f>
        <v>4.11</v>
      </c>
      <c r="H225" s="60"/>
      <c r="I225" s="61"/>
    </row>
    <row r="226" spans="5:9" s="64" customFormat="1" ht="14.25">
      <c r="E226" s="64" t="s">
        <v>7</v>
      </c>
      <c r="F226" s="65"/>
      <c r="G226" s="60">
        <f>TRUNC(SUM(G224:G225),2)</f>
        <v>40.24</v>
      </c>
      <c r="H226" s="60"/>
      <c r="I226" s="61"/>
    </row>
    <row r="227" spans="1:9" s="96" customFormat="1" ht="71.25">
      <c r="A227" s="96" t="s">
        <v>376</v>
      </c>
      <c r="B227" s="96" t="s">
        <v>596</v>
      </c>
      <c r="C227" s="96" t="s">
        <v>292</v>
      </c>
      <c r="D227" s="96" t="s">
        <v>12</v>
      </c>
      <c r="E227" s="96">
        <v>6</v>
      </c>
      <c r="F227" s="97">
        <f>TRUNC(G231,2)</f>
        <v>218.34</v>
      </c>
      <c r="G227" s="98">
        <f>TRUNC(F227*1.2338,2)</f>
        <v>269.38</v>
      </c>
      <c r="H227" s="99">
        <f>TRUNC(F227*E227,2)</f>
        <v>1310.04</v>
      </c>
      <c r="I227" s="99">
        <f>TRUNC(E227*G227,2)</f>
        <v>1616.28</v>
      </c>
    </row>
    <row r="228" spans="2:9" s="64" customFormat="1" ht="28.5">
      <c r="B228" s="64" t="s">
        <v>293</v>
      </c>
      <c r="C228" s="64" t="s">
        <v>294</v>
      </c>
      <c r="D228" s="64" t="s">
        <v>12</v>
      </c>
      <c r="E228" s="64">
        <v>1</v>
      </c>
      <c r="F228" s="65">
        <f>TRUNC(147.41,2)</f>
        <v>147.41</v>
      </c>
      <c r="G228" s="60">
        <f>TRUNC(E228*F228,2)</f>
        <v>147.41</v>
      </c>
      <c r="H228" s="60"/>
      <c r="I228" s="61"/>
    </row>
    <row r="229" spans="2:9" s="64" customFormat="1" ht="14.25">
      <c r="B229" s="64" t="s">
        <v>209</v>
      </c>
      <c r="C229" s="64" t="s">
        <v>210</v>
      </c>
      <c r="D229" s="64" t="s">
        <v>6</v>
      </c>
      <c r="E229" s="64">
        <v>2.06</v>
      </c>
      <c r="F229" s="65">
        <f>TRUNC(14.47,2)</f>
        <v>14.47</v>
      </c>
      <c r="G229" s="60">
        <f>TRUNC(E229*F229,2)</f>
        <v>29.8</v>
      </c>
      <c r="H229" s="60"/>
      <c r="I229" s="61"/>
    </row>
    <row r="230" spans="2:9" s="64" customFormat="1" ht="14.25">
      <c r="B230" s="64" t="s">
        <v>215</v>
      </c>
      <c r="C230" s="64" t="s">
        <v>216</v>
      </c>
      <c r="D230" s="64" t="s">
        <v>6</v>
      </c>
      <c r="E230" s="64">
        <v>2.06</v>
      </c>
      <c r="F230" s="65">
        <f>TRUNC(19.97,2)</f>
        <v>19.97</v>
      </c>
      <c r="G230" s="60">
        <f>TRUNC(E230*F230,2)</f>
        <v>41.13</v>
      </c>
      <c r="H230" s="60"/>
      <c r="I230" s="61"/>
    </row>
    <row r="231" spans="5:9" s="64" customFormat="1" ht="14.25">
      <c r="E231" s="64" t="s">
        <v>7</v>
      </c>
      <c r="F231" s="65"/>
      <c r="G231" s="60">
        <f>TRUNC(SUM(G228:G230),2)</f>
        <v>218.34</v>
      </c>
      <c r="H231" s="60"/>
      <c r="I231" s="61"/>
    </row>
    <row r="232" spans="1:9" s="96" customFormat="1" ht="42.75">
      <c r="A232" s="96" t="s">
        <v>377</v>
      </c>
      <c r="B232" s="96" t="s">
        <v>597</v>
      </c>
      <c r="C232" s="96" t="s">
        <v>296</v>
      </c>
      <c r="D232" s="96" t="s">
        <v>12</v>
      </c>
      <c r="E232" s="96">
        <v>2</v>
      </c>
      <c r="F232" s="97">
        <f>TRUNC(G236,2)</f>
        <v>36.45</v>
      </c>
      <c r="G232" s="98">
        <f>TRUNC(F232*1.2338,2)</f>
        <v>44.97</v>
      </c>
      <c r="H232" s="99">
        <f>TRUNC(F232*E232,2)</f>
        <v>72.9</v>
      </c>
      <c r="I232" s="99">
        <f>TRUNC(E232*G232,2)</f>
        <v>89.94</v>
      </c>
    </row>
    <row r="233" spans="2:9" s="64" customFormat="1" ht="14.25">
      <c r="B233" s="64" t="s">
        <v>297</v>
      </c>
      <c r="C233" s="64" t="s">
        <v>298</v>
      </c>
      <c r="D233" s="64" t="s">
        <v>12</v>
      </c>
      <c r="E233" s="64">
        <v>1</v>
      </c>
      <c r="F233" s="65">
        <f>TRUNC(24.05,2)</f>
        <v>24.05</v>
      </c>
      <c r="G233" s="60">
        <f>TRUNC(E233*F233,2)</f>
        <v>24.05</v>
      </c>
      <c r="H233" s="60"/>
      <c r="I233" s="61"/>
    </row>
    <row r="234" spans="2:9" s="64" customFormat="1" ht="14.25">
      <c r="B234" s="64" t="s">
        <v>209</v>
      </c>
      <c r="C234" s="64" t="s">
        <v>210</v>
      </c>
      <c r="D234" s="64" t="s">
        <v>6</v>
      </c>
      <c r="E234" s="64">
        <v>0.3605</v>
      </c>
      <c r="F234" s="65">
        <f>TRUNC(14.47,2)</f>
        <v>14.47</v>
      </c>
      <c r="G234" s="60">
        <f>TRUNC(E234*F234,2)</f>
        <v>5.21</v>
      </c>
      <c r="H234" s="60"/>
      <c r="I234" s="61"/>
    </row>
    <row r="235" spans="2:9" s="64" customFormat="1" ht="14.25">
      <c r="B235" s="64" t="s">
        <v>215</v>
      </c>
      <c r="C235" s="64" t="s">
        <v>216</v>
      </c>
      <c r="D235" s="64" t="s">
        <v>6</v>
      </c>
      <c r="E235" s="64">
        <v>0.3605</v>
      </c>
      <c r="F235" s="65">
        <f>TRUNC(19.97,2)</f>
        <v>19.97</v>
      </c>
      <c r="G235" s="60">
        <f>TRUNC(E235*F235,2)</f>
        <v>7.19</v>
      </c>
      <c r="H235" s="60"/>
      <c r="I235" s="61"/>
    </row>
    <row r="236" spans="5:9" s="64" customFormat="1" ht="14.25">
      <c r="E236" s="64" t="s">
        <v>7</v>
      </c>
      <c r="F236" s="65"/>
      <c r="G236" s="60">
        <f>TRUNC(SUM(G233:G235),2)</f>
        <v>36.45</v>
      </c>
      <c r="H236" s="60"/>
      <c r="I236" s="61"/>
    </row>
    <row r="237" spans="1:9" s="96" customFormat="1" ht="57">
      <c r="A237" s="96" t="s">
        <v>378</v>
      </c>
      <c r="B237" s="96" t="s">
        <v>598</v>
      </c>
      <c r="C237" s="96" t="s">
        <v>336</v>
      </c>
      <c r="D237" s="96" t="s">
        <v>12</v>
      </c>
      <c r="E237" s="96">
        <v>1</v>
      </c>
      <c r="F237" s="97">
        <f>TRUNC(G241,2)</f>
        <v>80.55</v>
      </c>
      <c r="G237" s="98">
        <f>TRUNC(F237*1.2338,2)</f>
        <v>99.38</v>
      </c>
      <c r="H237" s="99">
        <f>TRUNC(F237*E237,2)</f>
        <v>80.55</v>
      </c>
      <c r="I237" s="99">
        <f>TRUNC(E237*G237,2)</f>
        <v>99.38</v>
      </c>
    </row>
    <row r="238" spans="2:9" s="64" customFormat="1" ht="28.5">
      <c r="B238" s="64" t="s">
        <v>337</v>
      </c>
      <c r="C238" s="64" t="s">
        <v>338</v>
      </c>
      <c r="D238" s="64" t="s">
        <v>12</v>
      </c>
      <c r="E238" s="64">
        <v>1</v>
      </c>
      <c r="F238" s="65">
        <f>TRUNC(16.71,2)</f>
        <v>16.71</v>
      </c>
      <c r="G238" s="60">
        <f>TRUNC(E238*F238,2)</f>
        <v>16.71</v>
      </c>
      <c r="H238" s="60"/>
      <c r="I238" s="61"/>
    </row>
    <row r="239" spans="2:9" s="64" customFormat="1" ht="14.25">
      <c r="B239" s="64" t="s">
        <v>209</v>
      </c>
      <c r="C239" s="64" t="s">
        <v>210</v>
      </c>
      <c r="D239" s="64" t="s">
        <v>6</v>
      </c>
      <c r="E239" s="64">
        <v>1.854</v>
      </c>
      <c r="F239" s="65">
        <f>TRUNC(14.47,2)</f>
        <v>14.47</v>
      </c>
      <c r="G239" s="60">
        <f>TRUNC(E239*F239,2)</f>
        <v>26.82</v>
      </c>
      <c r="H239" s="60"/>
      <c r="I239" s="61"/>
    </row>
    <row r="240" spans="2:9" s="64" customFormat="1" ht="14.25">
      <c r="B240" s="64" t="s">
        <v>215</v>
      </c>
      <c r="C240" s="64" t="s">
        <v>216</v>
      </c>
      <c r="D240" s="64" t="s">
        <v>6</v>
      </c>
      <c r="E240" s="64">
        <v>1.854</v>
      </c>
      <c r="F240" s="65">
        <f>TRUNC(19.97,2)</f>
        <v>19.97</v>
      </c>
      <c r="G240" s="60">
        <f>TRUNC(E240*F240,2)</f>
        <v>37.02</v>
      </c>
      <c r="H240" s="60"/>
      <c r="I240" s="61"/>
    </row>
    <row r="241" spans="5:9" s="64" customFormat="1" ht="14.25">
      <c r="E241" s="64" t="s">
        <v>7</v>
      </c>
      <c r="F241" s="65"/>
      <c r="G241" s="60">
        <f>TRUNC(SUM(G238:G240),2)</f>
        <v>80.55</v>
      </c>
      <c r="H241" s="60"/>
      <c r="I241" s="61"/>
    </row>
    <row r="242" spans="1:9" s="96" customFormat="1" ht="57">
      <c r="A242" s="96" t="s">
        <v>379</v>
      </c>
      <c r="B242" s="96" t="s">
        <v>599</v>
      </c>
      <c r="C242" s="96" t="s">
        <v>299</v>
      </c>
      <c r="D242" s="96" t="s">
        <v>3</v>
      </c>
      <c r="E242" s="96">
        <v>121.53</v>
      </c>
      <c r="F242" s="97">
        <f>TRUNC(G247,2)</f>
        <v>3.62</v>
      </c>
      <c r="G242" s="98">
        <f>TRUNC(F242*1.2338,2)</f>
        <v>4.46</v>
      </c>
      <c r="H242" s="99">
        <f>TRUNC(F242*E242,2)</f>
        <v>439.93</v>
      </c>
      <c r="I242" s="99">
        <f>TRUNC(E242*G242,2)</f>
        <v>542.02</v>
      </c>
    </row>
    <row r="243" spans="2:9" s="64" customFormat="1" ht="14.25">
      <c r="B243" s="64" t="s">
        <v>159</v>
      </c>
      <c r="C243" s="64" t="s">
        <v>160</v>
      </c>
      <c r="D243" s="64" t="s">
        <v>12</v>
      </c>
      <c r="E243" s="64">
        <v>0.0014</v>
      </c>
      <c r="F243" s="65">
        <f>TRUNC(8.56,2)</f>
        <v>8.56</v>
      </c>
      <c r="G243" s="60">
        <f>TRUNC(E243*F243,2)</f>
        <v>0.01</v>
      </c>
      <c r="H243" s="60"/>
      <c r="I243" s="61"/>
    </row>
    <row r="244" spans="2:9" s="64" customFormat="1" ht="14.25">
      <c r="B244" s="64" t="s">
        <v>301</v>
      </c>
      <c r="C244" s="64" t="s">
        <v>302</v>
      </c>
      <c r="D244" s="64" t="s">
        <v>3</v>
      </c>
      <c r="E244" s="64">
        <v>1</v>
      </c>
      <c r="F244" s="65">
        <f>TRUNC(1.463,2)</f>
        <v>1.46</v>
      </c>
      <c r="G244" s="60">
        <f>TRUNC(E244*F244,2)</f>
        <v>1.46</v>
      </c>
      <c r="H244" s="60"/>
      <c r="I244" s="61"/>
    </row>
    <row r="245" spans="2:9" s="64" customFormat="1" ht="14.25">
      <c r="B245" s="64" t="s">
        <v>209</v>
      </c>
      <c r="C245" s="64" t="s">
        <v>210</v>
      </c>
      <c r="D245" s="64" t="s">
        <v>6</v>
      </c>
      <c r="E245" s="64">
        <v>0.06283</v>
      </c>
      <c r="F245" s="65">
        <f>TRUNC(14.47,2)</f>
        <v>14.47</v>
      </c>
      <c r="G245" s="60">
        <f>TRUNC(E245*F245,2)</f>
        <v>0.9</v>
      </c>
      <c r="H245" s="60"/>
      <c r="I245" s="61"/>
    </row>
    <row r="246" spans="2:9" s="64" customFormat="1" ht="14.25">
      <c r="B246" s="64" t="s">
        <v>215</v>
      </c>
      <c r="C246" s="64" t="s">
        <v>216</v>
      </c>
      <c r="D246" s="64" t="s">
        <v>6</v>
      </c>
      <c r="E246" s="64">
        <v>0.06283</v>
      </c>
      <c r="F246" s="65">
        <f>TRUNC(19.97,2)</f>
        <v>19.97</v>
      </c>
      <c r="G246" s="60">
        <f>TRUNC(E246*F246,2)</f>
        <v>1.25</v>
      </c>
      <c r="H246" s="60"/>
      <c r="I246" s="61"/>
    </row>
    <row r="247" spans="5:9" s="64" customFormat="1" ht="14.25">
      <c r="E247" s="64" t="s">
        <v>7</v>
      </c>
      <c r="F247" s="65"/>
      <c r="G247" s="60">
        <f>TRUNC(SUM(G243:G246),2)</f>
        <v>3.62</v>
      </c>
      <c r="H247" s="60"/>
      <c r="I247" s="61"/>
    </row>
    <row r="248" spans="1:9" s="96" customFormat="1" ht="57">
      <c r="A248" s="96" t="s">
        <v>380</v>
      </c>
      <c r="B248" s="96" t="s">
        <v>600</v>
      </c>
      <c r="C248" s="96" t="s">
        <v>304</v>
      </c>
      <c r="D248" s="96" t="s">
        <v>12</v>
      </c>
      <c r="E248" s="96">
        <v>1</v>
      </c>
      <c r="F248" s="97">
        <f>TRUNC(G266,2)</f>
        <v>908.9</v>
      </c>
      <c r="G248" s="98">
        <f>TRUNC(F248*1.2338,2)</f>
        <v>1121.4</v>
      </c>
      <c r="H248" s="99">
        <f>TRUNC(F248*E248,2)</f>
        <v>908.9</v>
      </c>
      <c r="I248" s="99">
        <f>TRUNC(E248*G248,2)</f>
        <v>1121.4</v>
      </c>
    </row>
    <row r="249" spans="2:9" s="64" customFormat="1" ht="14.25">
      <c r="B249" s="64" t="s">
        <v>315</v>
      </c>
      <c r="C249" s="64" t="s">
        <v>316</v>
      </c>
      <c r="D249" s="64" t="s">
        <v>12</v>
      </c>
      <c r="E249" s="64">
        <v>2</v>
      </c>
      <c r="F249" s="65">
        <f>TRUNC(0.72,2)</f>
        <v>0.72</v>
      </c>
      <c r="G249" s="60">
        <f aca="true" t="shared" si="8" ref="G249:G265">TRUNC(E249*F249,2)</f>
        <v>1.44</v>
      </c>
      <c r="H249" s="60"/>
      <c r="I249" s="61"/>
    </row>
    <row r="250" spans="2:9" s="64" customFormat="1" ht="14.25">
      <c r="B250" s="64" t="s">
        <v>307</v>
      </c>
      <c r="C250" s="64" t="s">
        <v>308</v>
      </c>
      <c r="D250" s="64" t="s">
        <v>12</v>
      </c>
      <c r="E250" s="64">
        <v>1</v>
      </c>
      <c r="F250" s="65">
        <f>TRUNC(5.6,2)</f>
        <v>5.6</v>
      </c>
      <c r="G250" s="60">
        <f t="shared" si="8"/>
        <v>5.6</v>
      </c>
      <c r="H250" s="60"/>
      <c r="I250" s="61"/>
    </row>
    <row r="251" spans="2:9" s="64" customFormat="1" ht="28.5">
      <c r="B251" s="64" t="s">
        <v>309</v>
      </c>
      <c r="C251" s="64" t="s">
        <v>310</v>
      </c>
      <c r="D251" s="64" t="s">
        <v>5</v>
      </c>
      <c r="E251" s="64">
        <v>0.15</v>
      </c>
      <c r="F251" s="65">
        <f>TRUNC(40.7168,2)</f>
        <v>40.71</v>
      </c>
      <c r="G251" s="60">
        <f t="shared" si="8"/>
        <v>6.1</v>
      </c>
      <c r="H251" s="60"/>
      <c r="I251" s="61"/>
    </row>
    <row r="252" spans="2:12" s="64" customFormat="1" ht="14.25">
      <c r="B252" s="64" t="s">
        <v>319</v>
      </c>
      <c r="C252" s="64" t="s">
        <v>320</v>
      </c>
      <c r="D252" s="64" t="s">
        <v>12</v>
      </c>
      <c r="E252" s="64">
        <v>2</v>
      </c>
      <c r="F252" s="65">
        <f>TRUNC(0.71,2)</f>
        <v>0.71</v>
      </c>
      <c r="G252" s="60">
        <f t="shared" si="8"/>
        <v>1.42</v>
      </c>
      <c r="H252" s="60"/>
      <c r="I252" s="61"/>
      <c r="L252" s="64">
        <f>(3+2.58)*4</f>
        <v>22.32</v>
      </c>
    </row>
    <row r="253" spans="2:12" s="64" customFormat="1" ht="14.25">
      <c r="B253" s="64" t="s">
        <v>313</v>
      </c>
      <c r="C253" s="64" t="s">
        <v>314</v>
      </c>
      <c r="D253" s="64" t="s">
        <v>12</v>
      </c>
      <c r="E253" s="64">
        <v>2</v>
      </c>
      <c r="F253" s="65">
        <f>TRUNC(0.41,2)</f>
        <v>0.41</v>
      </c>
      <c r="G253" s="60">
        <f t="shared" si="8"/>
        <v>0.82</v>
      </c>
      <c r="H253" s="60"/>
      <c r="I253" s="61"/>
      <c r="L253" s="64">
        <f>(1.5+20.7)*3</f>
        <v>66.6</v>
      </c>
    </row>
    <row r="254" spans="2:12" s="64" customFormat="1" ht="28.5">
      <c r="B254" s="64" t="s">
        <v>327</v>
      </c>
      <c r="C254" s="64" t="s">
        <v>328</v>
      </c>
      <c r="D254" s="64" t="s">
        <v>12</v>
      </c>
      <c r="E254" s="64">
        <v>1</v>
      </c>
      <c r="F254" s="65">
        <f>TRUNC(23.81,2)</f>
        <v>23.81</v>
      </c>
      <c r="G254" s="60">
        <f t="shared" si="8"/>
        <v>23.81</v>
      </c>
      <c r="H254" s="60"/>
      <c r="I254" s="61"/>
      <c r="L254" s="64">
        <f>(1.5+9.91)*3</f>
        <v>34.230000000000004</v>
      </c>
    </row>
    <row r="255" spans="2:12" s="64" customFormat="1" ht="14.25">
      <c r="B255" s="64" t="s">
        <v>317</v>
      </c>
      <c r="C255" s="64" t="s">
        <v>318</v>
      </c>
      <c r="D255" s="64" t="s">
        <v>12</v>
      </c>
      <c r="E255" s="64">
        <v>1</v>
      </c>
      <c r="F255" s="65">
        <f>TRUNC(21.02,2)</f>
        <v>21.02</v>
      </c>
      <c r="G255" s="60">
        <f t="shared" si="8"/>
        <v>21.02</v>
      </c>
      <c r="H255" s="60"/>
      <c r="I255" s="61"/>
      <c r="L255" s="64">
        <f>SUM(L252:L254)</f>
        <v>123.14999999999999</v>
      </c>
    </row>
    <row r="256" spans="2:9" s="64" customFormat="1" ht="14.25">
      <c r="B256" s="64" t="s">
        <v>329</v>
      </c>
      <c r="C256" s="64" t="s">
        <v>330</v>
      </c>
      <c r="D256" s="64" t="s">
        <v>12</v>
      </c>
      <c r="E256" s="64">
        <v>1</v>
      </c>
      <c r="F256" s="65">
        <f>TRUNC(33.5,2)</f>
        <v>33.5</v>
      </c>
      <c r="G256" s="60">
        <f t="shared" si="8"/>
        <v>33.5</v>
      </c>
      <c r="H256" s="60"/>
      <c r="I256" s="61"/>
    </row>
    <row r="257" spans="2:9" s="64" customFormat="1" ht="14.25">
      <c r="B257" s="64" t="s">
        <v>321</v>
      </c>
      <c r="C257" s="64" t="s">
        <v>322</v>
      </c>
      <c r="D257" s="64" t="s">
        <v>12</v>
      </c>
      <c r="E257" s="64">
        <v>3</v>
      </c>
      <c r="F257" s="65">
        <f>TRUNC(3.53,2)</f>
        <v>3.53</v>
      </c>
      <c r="G257" s="60">
        <f t="shared" si="8"/>
        <v>10.59</v>
      </c>
      <c r="H257" s="60"/>
      <c r="I257" s="61"/>
    </row>
    <row r="258" spans="2:9" s="64" customFormat="1" ht="14.25">
      <c r="B258" s="64" t="s">
        <v>305</v>
      </c>
      <c r="C258" s="64" t="s">
        <v>306</v>
      </c>
      <c r="D258" s="64" t="s">
        <v>12</v>
      </c>
      <c r="E258" s="64">
        <v>1</v>
      </c>
      <c r="F258" s="65">
        <f>TRUNC(21.21,2)</f>
        <v>21.21</v>
      </c>
      <c r="G258" s="60">
        <f t="shared" si="8"/>
        <v>21.21</v>
      </c>
      <c r="H258" s="60"/>
      <c r="I258" s="61"/>
    </row>
    <row r="259" spans="2:9" s="64" customFormat="1" ht="28.5">
      <c r="B259" s="64" t="s">
        <v>323</v>
      </c>
      <c r="C259" s="64" t="s">
        <v>324</v>
      </c>
      <c r="D259" s="64" t="s">
        <v>12</v>
      </c>
      <c r="E259" s="64">
        <v>1</v>
      </c>
      <c r="F259" s="65">
        <f>TRUNC(3.25,2)</f>
        <v>3.25</v>
      </c>
      <c r="G259" s="60">
        <f t="shared" si="8"/>
        <v>3.25</v>
      </c>
      <c r="H259" s="60"/>
      <c r="I259" s="61"/>
    </row>
    <row r="260" spans="2:9" s="64" customFormat="1" ht="28.5">
      <c r="B260" s="64" t="s">
        <v>325</v>
      </c>
      <c r="C260" s="64" t="s">
        <v>326</v>
      </c>
      <c r="D260" s="64" t="s">
        <v>12</v>
      </c>
      <c r="E260" s="64">
        <v>1</v>
      </c>
      <c r="F260" s="65">
        <f>TRUNC(51.4,2)</f>
        <v>51.4</v>
      </c>
      <c r="G260" s="60">
        <f t="shared" si="8"/>
        <v>51.4</v>
      </c>
      <c r="H260" s="60"/>
      <c r="I260" s="61"/>
    </row>
    <row r="261" spans="2:9" s="64" customFormat="1" ht="28.5">
      <c r="B261" s="64" t="s">
        <v>311</v>
      </c>
      <c r="C261" s="64" t="s">
        <v>312</v>
      </c>
      <c r="D261" s="64" t="s">
        <v>12</v>
      </c>
      <c r="E261" s="64">
        <v>2</v>
      </c>
      <c r="F261" s="65">
        <f>TRUNC(4.14,2)</f>
        <v>4.14</v>
      </c>
      <c r="G261" s="60">
        <f t="shared" si="8"/>
        <v>8.28</v>
      </c>
      <c r="H261" s="60"/>
      <c r="I261" s="61"/>
    </row>
    <row r="262" spans="2:9" s="64" customFormat="1" ht="14.25">
      <c r="B262" s="64" t="s">
        <v>209</v>
      </c>
      <c r="C262" s="64" t="s">
        <v>210</v>
      </c>
      <c r="D262" s="64" t="s">
        <v>6</v>
      </c>
      <c r="E262" s="64">
        <v>17.51</v>
      </c>
      <c r="F262" s="65">
        <f>TRUNC(14.47,2)</f>
        <v>14.47</v>
      </c>
      <c r="G262" s="60">
        <f t="shared" si="8"/>
        <v>253.36</v>
      </c>
      <c r="H262" s="60"/>
      <c r="I262" s="61"/>
    </row>
    <row r="263" spans="2:9" s="64" customFormat="1" ht="14.25">
      <c r="B263" s="64" t="s">
        <v>215</v>
      </c>
      <c r="C263" s="64" t="s">
        <v>216</v>
      </c>
      <c r="D263" s="64" t="s">
        <v>6</v>
      </c>
      <c r="E263" s="64">
        <v>17.51</v>
      </c>
      <c r="F263" s="65">
        <f>TRUNC(19.97,2)</f>
        <v>19.97</v>
      </c>
      <c r="G263" s="60">
        <f t="shared" si="8"/>
        <v>349.67</v>
      </c>
      <c r="H263" s="60"/>
      <c r="I263" s="61"/>
    </row>
    <row r="264" spans="2:9" s="64" customFormat="1" ht="14.25">
      <c r="B264" s="64" t="s">
        <v>605</v>
      </c>
      <c r="C264" s="64" t="s">
        <v>606</v>
      </c>
      <c r="D264" s="64" t="s">
        <v>0</v>
      </c>
      <c r="E264" s="64">
        <v>1.7</v>
      </c>
      <c r="F264" s="65">
        <f>TRUNC(48.1835,2)</f>
        <v>48.18</v>
      </c>
      <c r="G264" s="60">
        <f t="shared" si="8"/>
        <v>81.9</v>
      </c>
      <c r="H264" s="60"/>
      <c r="I264" s="61"/>
    </row>
    <row r="265" spans="2:9" s="64" customFormat="1" ht="14.25">
      <c r="B265" s="64" t="s">
        <v>576</v>
      </c>
      <c r="C265" s="64" t="s">
        <v>577</v>
      </c>
      <c r="D265" s="64" t="s">
        <v>1</v>
      </c>
      <c r="E265" s="64">
        <v>0.13</v>
      </c>
      <c r="F265" s="65">
        <f>TRUNC(273.3864,2)</f>
        <v>273.38</v>
      </c>
      <c r="G265" s="60">
        <f t="shared" si="8"/>
        <v>35.53</v>
      </c>
      <c r="H265" s="60"/>
      <c r="I265" s="61"/>
    </row>
    <row r="266" spans="5:9" s="64" customFormat="1" ht="14.25">
      <c r="E266" s="64" t="s">
        <v>7</v>
      </c>
      <c r="F266" s="65"/>
      <c r="G266" s="60">
        <f>TRUNC(SUM(G249:G265),2)</f>
        <v>908.9</v>
      </c>
      <c r="H266" s="60"/>
      <c r="I266" s="61"/>
    </row>
    <row r="267" spans="1:9" s="96" customFormat="1" ht="28.5">
      <c r="A267" s="96" t="s">
        <v>381</v>
      </c>
      <c r="B267" s="96" t="s">
        <v>601</v>
      </c>
      <c r="C267" s="96" t="s">
        <v>345</v>
      </c>
      <c r="D267" s="96" t="s">
        <v>12</v>
      </c>
      <c r="E267" s="96">
        <v>1</v>
      </c>
      <c r="F267" s="97">
        <f>TRUNC(G272,2)</f>
        <v>147.59</v>
      </c>
      <c r="G267" s="98">
        <f>TRUNC(F267*1.2338,2)</f>
        <v>182.09</v>
      </c>
      <c r="H267" s="99">
        <f>TRUNC(F267*E267,2)</f>
        <v>147.59</v>
      </c>
      <c r="I267" s="99">
        <f>TRUNC(E267*G267,2)</f>
        <v>182.09</v>
      </c>
    </row>
    <row r="268" spans="2:9" s="64" customFormat="1" ht="14.25">
      <c r="B268" s="64" t="s">
        <v>346</v>
      </c>
      <c r="C268" s="64" t="s">
        <v>347</v>
      </c>
      <c r="D268" s="64" t="s">
        <v>12</v>
      </c>
      <c r="E268" s="64">
        <v>1</v>
      </c>
      <c r="F268" s="65">
        <f>TRUNC(29.93,2)</f>
        <v>29.93</v>
      </c>
      <c r="G268" s="60">
        <f>TRUNC(E268*F268,2)</f>
        <v>29.93</v>
      </c>
      <c r="H268" s="60"/>
      <c r="I268" s="61"/>
    </row>
    <row r="269" spans="2:9" s="64" customFormat="1" ht="14.25">
      <c r="B269" s="64" t="s">
        <v>209</v>
      </c>
      <c r="C269" s="64" t="s">
        <v>210</v>
      </c>
      <c r="D269" s="64" t="s">
        <v>6</v>
      </c>
      <c r="E269" s="64">
        <v>2.06</v>
      </c>
      <c r="F269" s="65">
        <f>TRUNC(14.47,2)</f>
        <v>14.47</v>
      </c>
      <c r="G269" s="60">
        <f>TRUNC(E269*F269,2)</f>
        <v>29.8</v>
      </c>
      <c r="H269" s="60"/>
      <c r="I269" s="61"/>
    </row>
    <row r="270" spans="2:9" s="64" customFormat="1" ht="14.25">
      <c r="B270" s="64" t="s">
        <v>215</v>
      </c>
      <c r="C270" s="64" t="s">
        <v>216</v>
      </c>
      <c r="D270" s="64" t="s">
        <v>6</v>
      </c>
      <c r="E270" s="64">
        <v>2.06</v>
      </c>
      <c r="F270" s="65">
        <f>TRUNC(19.97,2)</f>
        <v>19.97</v>
      </c>
      <c r="G270" s="60">
        <f>TRUNC(E270*F270,2)</f>
        <v>41.13</v>
      </c>
      <c r="H270" s="60"/>
      <c r="I270" s="61"/>
    </row>
    <row r="271" spans="2:9" s="64" customFormat="1" ht="14.25">
      <c r="B271" s="64" t="s">
        <v>607</v>
      </c>
      <c r="C271" s="64" t="s">
        <v>608</v>
      </c>
      <c r="D271" s="64" t="s">
        <v>1</v>
      </c>
      <c r="E271" s="64">
        <v>0.024</v>
      </c>
      <c r="F271" s="65">
        <f>TRUNC(1947.4151,2)</f>
        <v>1947.41</v>
      </c>
      <c r="G271" s="60">
        <f>TRUNC(E271*F271,2)</f>
        <v>46.73</v>
      </c>
      <c r="H271" s="60"/>
      <c r="I271" s="61"/>
    </row>
    <row r="272" spans="5:9" s="64" customFormat="1" ht="14.25">
      <c r="E272" s="64" t="s">
        <v>7</v>
      </c>
      <c r="F272" s="65"/>
      <c r="G272" s="60">
        <f>TRUNC(SUM(G268:G271),2)</f>
        <v>147.59</v>
      </c>
      <c r="H272" s="60"/>
      <c r="I272" s="61"/>
    </row>
    <row r="273" spans="1:9" s="96" customFormat="1" ht="28.5">
      <c r="A273" s="96" t="s">
        <v>382</v>
      </c>
      <c r="B273" s="96" t="s">
        <v>609</v>
      </c>
      <c r="C273" s="96" t="s">
        <v>351</v>
      </c>
      <c r="D273" s="96" t="s">
        <v>12</v>
      </c>
      <c r="E273" s="96">
        <v>2</v>
      </c>
      <c r="F273" s="97">
        <f>TRUNC(G277,2)</f>
        <v>92.67</v>
      </c>
      <c r="G273" s="98">
        <f>TRUNC(F273*1.2338,2)</f>
        <v>114.33</v>
      </c>
      <c r="H273" s="99">
        <f>TRUNC(F273*E273,2)</f>
        <v>185.34</v>
      </c>
      <c r="I273" s="99">
        <f>TRUNC(E273*G273,2)</f>
        <v>228.66</v>
      </c>
    </row>
    <row r="274" spans="2:9" s="64" customFormat="1" ht="14.25">
      <c r="B274" s="64" t="s">
        <v>554</v>
      </c>
      <c r="C274" s="64" t="s">
        <v>353</v>
      </c>
      <c r="D274" s="64" t="s">
        <v>12</v>
      </c>
      <c r="E274" s="64">
        <v>1</v>
      </c>
      <c r="F274" s="65">
        <f>TRUNC(73.5,2)</f>
        <v>73.5</v>
      </c>
      <c r="G274" s="60">
        <f>TRUNC(E274*F274,2)</f>
        <v>73.5</v>
      </c>
      <c r="H274" s="60"/>
      <c r="I274" s="61"/>
    </row>
    <row r="275" spans="2:9" s="64" customFormat="1" ht="14.25">
      <c r="B275" s="64" t="s">
        <v>571</v>
      </c>
      <c r="C275" s="64" t="s">
        <v>340</v>
      </c>
      <c r="D275" s="64" t="s">
        <v>6</v>
      </c>
      <c r="E275" s="64">
        <v>0.4</v>
      </c>
      <c r="F275" s="65">
        <f>TRUNC(26.97,2)</f>
        <v>26.97</v>
      </c>
      <c r="G275" s="60">
        <f>TRUNC(E275*F275,2)</f>
        <v>10.78</v>
      </c>
      <c r="H275" s="60"/>
      <c r="I275" s="61"/>
    </row>
    <row r="276" spans="2:9" s="64" customFormat="1" ht="14.25">
      <c r="B276" s="64" t="s">
        <v>610</v>
      </c>
      <c r="C276" s="64" t="s">
        <v>341</v>
      </c>
      <c r="D276" s="64" t="s">
        <v>6</v>
      </c>
      <c r="E276" s="64">
        <v>0.4</v>
      </c>
      <c r="F276" s="65">
        <f>TRUNC(20.99,2)</f>
        <v>20.99</v>
      </c>
      <c r="G276" s="60">
        <f>TRUNC(E276*F276,2)</f>
        <v>8.39</v>
      </c>
      <c r="H276" s="60"/>
      <c r="I276" s="61"/>
    </row>
    <row r="277" spans="5:9" s="64" customFormat="1" ht="14.25">
      <c r="E277" s="64" t="s">
        <v>7</v>
      </c>
      <c r="F277" s="65"/>
      <c r="G277" s="60">
        <f>TRUNC(SUM(G274:G276),2)</f>
        <v>92.67</v>
      </c>
      <c r="H277" s="60"/>
      <c r="I277" s="61"/>
    </row>
    <row r="278" spans="1:9" s="96" customFormat="1" ht="28.5">
      <c r="A278" s="96" t="s">
        <v>383</v>
      </c>
      <c r="B278" s="96" t="s">
        <v>611</v>
      </c>
      <c r="C278" s="96" t="s">
        <v>355</v>
      </c>
      <c r="D278" s="96" t="s">
        <v>3</v>
      </c>
      <c r="E278" s="96">
        <v>38.65</v>
      </c>
      <c r="F278" s="97">
        <f>TRUNC(G283,2)</f>
        <v>8.09</v>
      </c>
      <c r="G278" s="98">
        <f>TRUNC(F278*1.2338,2)</f>
        <v>9.98</v>
      </c>
      <c r="H278" s="99">
        <f>TRUNC(F278*E278,2)</f>
        <v>312.67</v>
      </c>
      <c r="I278" s="99">
        <f>TRUNC(E278*G278,2)</f>
        <v>385.72</v>
      </c>
    </row>
    <row r="279" spans="2:9" s="64" customFormat="1" ht="14.25">
      <c r="B279" s="64" t="s">
        <v>612</v>
      </c>
      <c r="C279" s="64" t="s">
        <v>339</v>
      </c>
      <c r="D279" s="64" t="s">
        <v>5</v>
      </c>
      <c r="E279" s="64">
        <v>0.0018</v>
      </c>
      <c r="F279" s="65">
        <f>TRUNC(13.35,2)</f>
        <v>13.35</v>
      </c>
      <c r="G279" s="60">
        <f>TRUNC(E279*F279,2)</f>
        <v>0.02</v>
      </c>
      <c r="H279" s="60"/>
      <c r="I279" s="61"/>
    </row>
    <row r="280" spans="2:9" s="64" customFormat="1" ht="14.25">
      <c r="B280" s="64" t="s">
        <v>613</v>
      </c>
      <c r="C280" s="64" t="s">
        <v>358</v>
      </c>
      <c r="D280" s="64" t="s">
        <v>3</v>
      </c>
      <c r="E280" s="64">
        <v>1.017</v>
      </c>
      <c r="F280" s="65">
        <f>TRUNC(3.13,2)</f>
        <v>3.13</v>
      </c>
      <c r="G280" s="60">
        <f>TRUNC(E280*F280,2)</f>
        <v>3.18</v>
      </c>
      <c r="H280" s="60"/>
      <c r="I280" s="61"/>
    </row>
    <row r="281" spans="2:9" s="64" customFormat="1" ht="14.25">
      <c r="B281" s="64" t="s">
        <v>571</v>
      </c>
      <c r="C281" s="64" t="s">
        <v>340</v>
      </c>
      <c r="D281" s="64" t="s">
        <v>6</v>
      </c>
      <c r="E281" s="64">
        <v>0.102</v>
      </c>
      <c r="F281" s="65">
        <f>TRUNC(26.97,2)</f>
        <v>26.97</v>
      </c>
      <c r="G281" s="60">
        <f>TRUNC(E281*F281,2)</f>
        <v>2.75</v>
      </c>
      <c r="H281" s="60"/>
      <c r="I281" s="61"/>
    </row>
    <row r="282" spans="2:9" s="64" customFormat="1" ht="14.25">
      <c r="B282" s="64" t="s">
        <v>610</v>
      </c>
      <c r="C282" s="64" t="s">
        <v>341</v>
      </c>
      <c r="D282" s="64" t="s">
        <v>6</v>
      </c>
      <c r="E282" s="64">
        <v>0.102</v>
      </c>
      <c r="F282" s="65">
        <f>TRUNC(20.99,2)</f>
        <v>20.99</v>
      </c>
      <c r="G282" s="60">
        <f>TRUNC(E282*F282,2)</f>
        <v>2.14</v>
      </c>
      <c r="H282" s="60"/>
      <c r="I282" s="61"/>
    </row>
    <row r="283" spans="5:9" s="64" customFormat="1" ht="14.25">
      <c r="E283" s="64" t="s">
        <v>7</v>
      </c>
      <c r="F283" s="65"/>
      <c r="G283" s="60">
        <f>TRUNC(SUM(G279:G282),2)</f>
        <v>8.09</v>
      </c>
      <c r="H283" s="60"/>
      <c r="I283" s="61"/>
    </row>
    <row r="284" spans="1:9" s="96" customFormat="1" ht="28.5">
      <c r="A284" s="96" t="s">
        <v>384</v>
      </c>
      <c r="B284" s="96" t="s">
        <v>614</v>
      </c>
      <c r="C284" s="96" t="s">
        <v>360</v>
      </c>
      <c r="D284" s="96" t="s">
        <v>12</v>
      </c>
      <c r="E284" s="96">
        <v>7</v>
      </c>
      <c r="F284" s="97">
        <f>TRUNC(G288,2)</f>
        <v>9.84</v>
      </c>
      <c r="G284" s="98">
        <f>TRUNC(F284*1.2338,2)</f>
        <v>12.14</v>
      </c>
      <c r="H284" s="99">
        <f>TRUNC(F284*E284,2)</f>
        <v>68.88</v>
      </c>
      <c r="I284" s="99">
        <f>TRUNC(E284*G284,2)</f>
        <v>84.98</v>
      </c>
    </row>
    <row r="285" spans="2:9" s="64" customFormat="1" ht="14.25">
      <c r="B285" s="64" t="s">
        <v>615</v>
      </c>
      <c r="C285" s="64" t="s">
        <v>362</v>
      </c>
      <c r="D285" s="64" t="s">
        <v>12</v>
      </c>
      <c r="E285" s="64">
        <v>1</v>
      </c>
      <c r="F285" s="65">
        <f>TRUNC(2.18,2)</f>
        <v>2.18</v>
      </c>
      <c r="G285" s="60">
        <f>TRUNC(E285*F285,2)</f>
        <v>2.18</v>
      </c>
      <c r="H285" s="60"/>
      <c r="I285" s="61"/>
    </row>
    <row r="286" spans="2:9" s="64" customFormat="1" ht="14.25">
      <c r="B286" s="64" t="s">
        <v>571</v>
      </c>
      <c r="C286" s="64" t="s">
        <v>340</v>
      </c>
      <c r="D286" s="64" t="s">
        <v>6</v>
      </c>
      <c r="E286" s="64">
        <v>0.16</v>
      </c>
      <c r="F286" s="65">
        <f>TRUNC(26.97,2)</f>
        <v>26.97</v>
      </c>
      <c r="G286" s="60">
        <f>TRUNC(E286*F286,2)</f>
        <v>4.31</v>
      </c>
      <c r="H286" s="60"/>
      <c r="I286" s="61"/>
    </row>
    <row r="287" spans="2:9" s="64" customFormat="1" ht="14.25">
      <c r="B287" s="64" t="s">
        <v>610</v>
      </c>
      <c r="C287" s="64" t="s">
        <v>341</v>
      </c>
      <c r="D287" s="64" t="s">
        <v>6</v>
      </c>
      <c r="E287" s="64">
        <v>0.16</v>
      </c>
      <c r="F287" s="65">
        <f>TRUNC(20.99,2)</f>
        <v>20.99</v>
      </c>
      <c r="G287" s="60">
        <f>TRUNC(E287*F287,2)</f>
        <v>3.35</v>
      </c>
      <c r="H287" s="60"/>
      <c r="I287" s="61"/>
    </row>
    <row r="288" spans="5:9" s="64" customFormat="1" ht="14.25">
      <c r="E288" s="64" t="s">
        <v>7</v>
      </c>
      <c r="F288" s="65"/>
      <c r="G288" s="60">
        <f>TRUNC(SUM(G285:G287),2)</f>
        <v>9.84</v>
      </c>
      <c r="H288" s="60"/>
      <c r="I288" s="61"/>
    </row>
    <row r="289" spans="1:9" s="96" customFormat="1" ht="28.5">
      <c r="A289" s="96" t="s">
        <v>385</v>
      </c>
      <c r="B289" s="96" t="s">
        <v>616</v>
      </c>
      <c r="C289" s="96" t="s">
        <v>364</v>
      </c>
      <c r="D289" s="96" t="s">
        <v>12</v>
      </c>
      <c r="E289" s="96">
        <v>1</v>
      </c>
      <c r="F289" s="97">
        <f>TRUNC(G294,2)</f>
        <v>25.47</v>
      </c>
      <c r="G289" s="98">
        <f>TRUNC(F289*1.2338,2)</f>
        <v>31.42</v>
      </c>
      <c r="H289" s="99">
        <f>TRUNC(F289*E289,2)</f>
        <v>25.47</v>
      </c>
      <c r="I289" s="99">
        <f>TRUNC(E289*G289,2)</f>
        <v>31.42</v>
      </c>
    </row>
    <row r="290" spans="2:9" s="64" customFormat="1" ht="14.25">
      <c r="B290" s="64" t="s">
        <v>617</v>
      </c>
      <c r="C290" s="64" t="s">
        <v>366</v>
      </c>
      <c r="D290" s="64" t="s">
        <v>12</v>
      </c>
      <c r="E290" s="64">
        <v>1</v>
      </c>
      <c r="F290" s="65">
        <f>TRUNC(14.76,2)</f>
        <v>14.76</v>
      </c>
      <c r="G290" s="60">
        <f>TRUNC(E290*F290,2)</f>
        <v>14.76</v>
      </c>
      <c r="H290" s="60"/>
      <c r="I290" s="61"/>
    </row>
    <row r="291" spans="2:9" s="64" customFormat="1" ht="14.25">
      <c r="B291" s="64" t="s">
        <v>138</v>
      </c>
      <c r="C291" s="64" t="s">
        <v>139</v>
      </c>
      <c r="D291" s="64" t="s">
        <v>6</v>
      </c>
      <c r="E291" s="64">
        <v>0.1693</v>
      </c>
      <c r="F291" s="65">
        <f>TRUNC(21.25,2)</f>
        <v>21.25</v>
      </c>
      <c r="G291" s="60">
        <f>TRUNC(E291*F291,2)</f>
        <v>3.59</v>
      </c>
      <c r="H291" s="60"/>
      <c r="I291" s="61"/>
    </row>
    <row r="292" spans="2:9" s="64" customFormat="1" ht="14.25">
      <c r="B292" s="64" t="s">
        <v>618</v>
      </c>
      <c r="C292" s="64" t="s">
        <v>368</v>
      </c>
      <c r="D292" s="64" t="s">
        <v>6</v>
      </c>
      <c r="E292" s="64">
        <v>0.1693</v>
      </c>
      <c r="F292" s="65">
        <f>TRUNC(26.96,2)</f>
        <v>26.96</v>
      </c>
      <c r="G292" s="60">
        <f>TRUNC(E292*F292,2)</f>
        <v>4.56</v>
      </c>
      <c r="H292" s="60"/>
      <c r="I292" s="61"/>
    </row>
    <row r="293" spans="2:9" s="64" customFormat="1" ht="42.75">
      <c r="B293" s="64" t="s">
        <v>619</v>
      </c>
      <c r="C293" s="64" t="s">
        <v>620</v>
      </c>
      <c r="D293" s="64" t="s">
        <v>1</v>
      </c>
      <c r="E293" s="64">
        <v>0.0141</v>
      </c>
      <c r="F293" s="65">
        <f>TRUNC(182.17,2)</f>
        <v>182.17</v>
      </c>
      <c r="G293" s="60">
        <f>TRUNC(E293*F293,2)</f>
        <v>2.56</v>
      </c>
      <c r="H293" s="60"/>
      <c r="I293" s="61"/>
    </row>
    <row r="294" spans="5:9" s="64" customFormat="1" ht="14.25">
      <c r="E294" s="64" t="s">
        <v>7</v>
      </c>
      <c r="F294" s="65"/>
      <c r="G294" s="60">
        <f>TRUNC(SUM(G290:G293),2)</f>
        <v>25.47</v>
      </c>
      <c r="H294" s="60"/>
      <c r="I294" s="61"/>
    </row>
    <row r="295" spans="1:9" s="96" customFormat="1" ht="42.75">
      <c r="A295" s="96" t="s">
        <v>386</v>
      </c>
      <c r="B295" s="96" t="s">
        <v>602</v>
      </c>
      <c r="C295" s="96" t="s">
        <v>389</v>
      </c>
      <c r="D295" s="96" t="s">
        <v>12</v>
      </c>
      <c r="E295" s="96">
        <v>1</v>
      </c>
      <c r="F295" s="97">
        <f>TRUNC(G302,2)</f>
        <v>521.25</v>
      </c>
      <c r="G295" s="98">
        <f>TRUNC(F295*1.2338,2)</f>
        <v>643.11</v>
      </c>
      <c r="H295" s="99">
        <f>TRUNC(F295*E295,2)</f>
        <v>521.25</v>
      </c>
      <c r="I295" s="99">
        <f>TRUNC(E295*G295,2)</f>
        <v>643.11</v>
      </c>
    </row>
    <row r="296" spans="2:9" s="64" customFormat="1" ht="28.5">
      <c r="B296" s="64" t="s">
        <v>391</v>
      </c>
      <c r="C296" s="64" t="s">
        <v>392</v>
      </c>
      <c r="D296" s="64" t="s">
        <v>12</v>
      </c>
      <c r="E296" s="64">
        <v>1</v>
      </c>
      <c r="F296" s="65">
        <f>TRUNC(322.4,2)</f>
        <v>322.4</v>
      </c>
      <c r="G296" s="60">
        <f aca="true" t="shared" si="9" ref="G296:G301">TRUNC(E296*F296,2)</f>
        <v>322.4</v>
      </c>
      <c r="H296" s="60"/>
      <c r="I296" s="61"/>
    </row>
    <row r="297" spans="2:9" s="64" customFormat="1" ht="14.25">
      <c r="B297" s="64" t="s">
        <v>209</v>
      </c>
      <c r="C297" s="64" t="s">
        <v>210</v>
      </c>
      <c r="D297" s="64" t="s">
        <v>6</v>
      </c>
      <c r="E297" s="64">
        <v>5.665</v>
      </c>
      <c r="F297" s="65">
        <f>TRUNC(14.47,2)</f>
        <v>14.47</v>
      </c>
      <c r="G297" s="60">
        <f t="shared" si="9"/>
        <v>81.97</v>
      </c>
      <c r="H297" s="60"/>
      <c r="I297" s="61"/>
    </row>
    <row r="298" spans="2:9" s="64" customFormat="1" ht="14.25">
      <c r="B298" s="64" t="s">
        <v>621</v>
      </c>
      <c r="C298" s="64" t="s">
        <v>622</v>
      </c>
      <c r="D298" s="64" t="s">
        <v>6</v>
      </c>
      <c r="E298" s="64">
        <v>1</v>
      </c>
      <c r="F298" s="65">
        <f>TRUNC(38.0154,2)</f>
        <v>38.01</v>
      </c>
      <c r="G298" s="60">
        <f t="shared" si="9"/>
        <v>38.01</v>
      </c>
      <c r="H298" s="60"/>
      <c r="I298" s="61"/>
    </row>
    <row r="299" spans="2:9" s="64" customFormat="1" ht="14.25">
      <c r="B299" s="64" t="s">
        <v>623</v>
      </c>
      <c r="C299" s="64" t="s">
        <v>624</v>
      </c>
      <c r="D299" s="64" t="s">
        <v>1</v>
      </c>
      <c r="E299" s="64">
        <v>0.1</v>
      </c>
      <c r="F299" s="65">
        <f>TRUNC(65.184,2)</f>
        <v>65.18</v>
      </c>
      <c r="G299" s="60">
        <f t="shared" si="9"/>
        <v>6.51</v>
      </c>
      <c r="H299" s="60"/>
      <c r="I299" s="61"/>
    </row>
    <row r="300" spans="2:9" s="64" customFormat="1" ht="14.25">
      <c r="B300" s="64" t="s">
        <v>625</v>
      </c>
      <c r="C300" s="64" t="s">
        <v>626</v>
      </c>
      <c r="D300" s="64" t="s">
        <v>1</v>
      </c>
      <c r="E300" s="64">
        <v>0.1</v>
      </c>
      <c r="F300" s="65">
        <f>TRUNC(209.3668,2)</f>
        <v>209.36</v>
      </c>
      <c r="G300" s="60">
        <f t="shared" si="9"/>
        <v>20.93</v>
      </c>
      <c r="H300" s="60"/>
      <c r="I300" s="61"/>
    </row>
    <row r="301" spans="2:9" s="64" customFormat="1" ht="14.25">
      <c r="B301" s="64" t="s">
        <v>627</v>
      </c>
      <c r="C301" s="64" t="s">
        <v>628</v>
      </c>
      <c r="D301" s="64" t="s">
        <v>6</v>
      </c>
      <c r="E301" s="64">
        <v>1</v>
      </c>
      <c r="F301" s="65">
        <f>TRUNC(51.4301,2)</f>
        <v>51.43</v>
      </c>
      <c r="G301" s="60">
        <f t="shared" si="9"/>
        <v>51.43</v>
      </c>
      <c r="H301" s="60"/>
      <c r="I301" s="61"/>
    </row>
    <row r="302" spans="5:9" s="64" customFormat="1" ht="14.25">
      <c r="E302" s="64" t="s">
        <v>7</v>
      </c>
      <c r="F302" s="65"/>
      <c r="G302" s="60">
        <f>TRUNC(SUM(G296:G301),2)</f>
        <v>521.25</v>
      </c>
      <c r="H302" s="60"/>
      <c r="I302" s="61"/>
    </row>
    <row r="303" spans="1:9" s="96" customFormat="1" ht="42.75">
      <c r="A303" s="96" t="s">
        <v>387</v>
      </c>
      <c r="B303" s="96" t="s">
        <v>603</v>
      </c>
      <c r="C303" s="96" t="s">
        <v>452</v>
      </c>
      <c r="D303" s="96" t="s">
        <v>12</v>
      </c>
      <c r="E303" s="96">
        <v>1</v>
      </c>
      <c r="F303" s="97">
        <f>TRUNC(G308,2)</f>
        <v>278.45</v>
      </c>
      <c r="G303" s="98">
        <f>TRUNC(F303*1.2338,2)</f>
        <v>343.55</v>
      </c>
      <c r="H303" s="99">
        <f>TRUNC(F303*E303,2)</f>
        <v>278.45</v>
      </c>
      <c r="I303" s="99">
        <f>TRUNC(E303*G303,2)</f>
        <v>343.55</v>
      </c>
    </row>
    <row r="304" spans="2:9" s="64" customFormat="1" ht="14.25">
      <c r="B304" s="64" t="s">
        <v>166</v>
      </c>
      <c r="C304" s="64" t="s">
        <v>118</v>
      </c>
      <c r="D304" s="64" t="s">
        <v>47</v>
      </c>
      <c r="E304" s="64">
        <v>0.18125</v>
      </c>
      <c r="F304" s="65">
        <f>TRUNC(49.01,2)</f>
        <v>49.01</v>
      </c>
      <c r="G304" s="60">
        <f>TRUNC(E304*F304,2)</f>
        <v>8.88</v>
      </c>
      <c r="H304" s="60"/>
      <c r="I304" s="61"/>
    </row>
    <row r="305" spans="2:9" s="64" customFormat="1" ht="14.25">
      <c r="B305" s="64" t="s">
        <v>453</v>
      </c>
      <c r="C305" s="64" t="s">
        <v>454</v>
      </c>
      <c r="D305" s="64" t="s">
        <v>5</v>
      </c>
      <c r="E305" s="64">
        <v>25</v>
      </c>
      <c r="F305" s="65">
        <f>TRUNC(0.347,2)</f>
        <v>0.34</v>
      </c>
      <c r="G305" s="60">
        <f>TRUNC(E305*F305,2)</f>
        <v>8.5</v>
      </c>
      <c r="H305" s="60"/>
      <c r="I305" s="61"/>
    </row>
    <row r="306" spans="2:9" s="64" customFormat="1" ht="14.25">
      <c r="B306" s="64" t="s">
        <v>455</v>
      </c>
      <c r="C306" s="64" t="s">
        <v>456</v>
      </c>
      <c r="D306" s="64" t="s">
        <v>1</v>
      </c>
      <c r="E306" s="64">
        <v>0.125</v>
      </c>
      <c r="F306" s="65">
        <f>TRUNC(55,2)</f>
        <v>55</v>
      </c>
      <c r="G306" s="60">
        <f>TRUNC(E306*F306,2)</f>
        <v>6.87</v>
      </c>
      <c r="H306" s="60"/>
      <c r="I306" s="61"/>
    </row>
    <row r="307" spans="2:9" s="64" customFormat="1" ht="28.5">
      <c r="B307" s="64" t="s">
        <v>591</v>
      </c>
      <c r="C307" s="64" t="s">
        <v>592</v>
      </c>
      <c r="D307" s="64" t="s">
        <v>6</v>
      </c>
      <c r="E307" s="64">
        <v>20.6</v>
      </c>
      <c r="F307" s="65">
        <f>TRUNC(12.34,2)</f>
        <v>12.34</v>
      </c>
      <c r="G307" s="60">
        <f>TRUNC(E307*F307,2)</f>
        <v>254.2</v>
      </c>
      <c r="H307" s="60"/>
      <c r="I307" s="61"/>
    </row>
    <row r="308" spans="5:9" s="64" customFormat="1" ht="14.25">
      <c r="E308" s="64" t="s">
        <v>7</v>
      </c>
      <c r="F308" s="65"/>
      <c r="G308" s="60">
        <f>TRUNC(SUM(G304:G307),2)</f>
        <v>278.45</v>
      </c>
      <c r="H308" s="60"/>
      <c r="I308" s="61"/>
    </row>
    <row r="309" spans="1:9" s="96" customFormat="1" ht="42.75">
      <c r="A309" s="96" t="s">
        <v>457</v>
      </c>
      <c r="B309" s="96" t="s">
        <v>604</v>
      </c>
      <c r="C309" s="96" t="s">
        <v>408</v>
      </c>
      <c r="D309" s="96" t="s">
        <v>12</v>
      </c>
      <c r="E309" s="96">
        <v>5</v>
      </c>
      <c r="F309" s="97">
        <f>TRUNC(G314,2)</f>
        <v>5.96</v>
      </c>
      <c r="G309" s="98">
        <f>TRUNC(F309*1.2338,2)</f>
        <v>7.35</v>
      </c>
      <c r="H309" s="99">
        <f>TRUNC(F309*E309,2)</f>
        <v>29.8</v>
      </c>
      <c r="I309" s="99">
        <f>TRUNC(E309*G309,2)</f>
        <v>36.75</v>
      </c>
    </row>
    <row r="310" spans="2:9" s="64" customFormat="1" ht="14.25">
      <c r="B310" s="64" t="s">
        <v>409</v>
      </c>
      <c r="C310" s="64" t="s">
        <v>410</v>
      </c>
      <c r="D310" s="64" t="s">
        <v>12</v>
      </c>
      <c r="E310" s="64">
        <v>1</v>
      </c>
      <c r="F310" s="65">
        <f>TRUNC(0.03,2)</f>
        <v>0.03</v>
      </c>
      <c r="G310" s="60">
        <f>TRUNC(E310*F310,2)</f>
        <v>0.03</v>
      </c>
      <c r="H310" s="60"/>
      <c r="I310" s="61"/>
    </row>
    <row r="311" spans="2:9" s="64" customFormat="1" ht="14.25">
      <c r="B311" s="64" t="s">
        <v>411</v>
      </c>
      <c r="C311" s="64" t="s">
        <v>412</v>
      </c>
      <c r="D311" s="64" t="s">
        <v>12</v>
      </c>
      <c r="E311" s="64">
        <v>1</v>
      </c>
      <c r="F311" s="65">
        <f>TRUNC(0.02,2)</f>
        <v>0.02</v>
      </c>
      <c r="G311" s="60">
        <f>TRUNC(E311*F311,2)</f>
        <v>0.02</v>
      </c>
      <c r="H311" s="60"/>
      <c r="I311" s="61"/>
    </row>
    <row r="312" spans="2:9" s="64" customFormat="1" ht="14.25">
      <c r="B312" s="64" t="s">
        <v>413</v>
      </c>
      <c r="C312" s="64" t="s">
        <v>414</v>
      </c>
      <c r="D312" s="64" t="s">
        <v>12</v>
      </c>
      <c r="E312" s="64">
        <v>1</v>
      </c>
      <c r="F312" s="65">
        <f>TRUNC(0.98,2)</f>
        <v>0.98</v>
      </c>
      <c r="G312" s="60">
        <f>TRUNC(E312*F312,2)</f>
        <v>0.98</v>
      </c>
      <c r="H312" s="60"/>
      <c r="I312" s="61"/>
    </row>
    <row r="313" spans="2:9" s="64" customFormat="1" ht="14.25">
      <c r="B313" s="64" t="s">
        <v>215</v>
      </c>
      <c r="C313" s="64" t="s">
        <v>216</v>
      </c>
      <c r="D313" s="64" t="s">
        <v>6</v>
      </c>
      <c r="E313" s="64">
        <v>0.2472</v>
      </c>
      <c r="F313" s="65">
        <f>TRUNC(19.97,2)</f>
        <v>19.97</v>
      </c>
      <c r="G313" s="60">
        <f>TRUNC(E313*F313,2)</f>
        <v>4.93</v>
      </c>
      <c r="H313" s="60"/>
      <c r="I313" s="61"/>
    </row>
    <row r="314" spans="5:9" s="64" customFormat="1" ht="14.25">
      <c r="E314" s="64" t="s">
        <v>7</v>
      </c>
      <c r="F314" s="65"/>
      <c r="G314" s="60">
        <f>TRUNC(SUM(G310:G313),2)</f>
        <v>5.96</v>
      </c>
      <c r="H314" s="60"/>
      <c r="I314" s="61"/>
    </row>
    <row r="315" spans="1:9" s="39" customFormat="1" ht="15.75">
      <c r="A315" s="48" t="s">
        <v>52</v>
      </c>
      <c r="B315" s="50"/>
      <c r="C315" s="49"/>
      <c r="D315" s="50"/>
      <c r="E315" s="50"/>
      <c r="F315" s="50" t="s">
        <v>388</v>
      </c>
      <c r="G315" s="50"/>
      <c r="H315" s="51">
        <f>H289+H284+H278+H273+H267+H248+H242+H237+H232+H227+H223+H220+H217+H295+H303+H309</f>
        <v>6074.85</v>
      </c>
      <c r="I315" s="51">
        <f>I289+I284+I278+I273+I267+I248+I242+I237+I232+I227+I223+I220+I217+I295+I303+I309</f>
        <v>7494.16</v>
      </c>
    </row>
    <row r="316" spans="1:9" s="38" customFormat="1" ht="15.75">
      <c r="A316" s="38" t="s">
        <v>24</v>
      </c>
      <c r="B316" s="46"/>
      <c r="C316" s="47" t="s">
        <v>69</v>
      </c>
      <c r="D316" s="47"/>
      <c r="E316" s="47"/>
      <c r="F316" s="47"/>
      <c r="G316" s="47"/>
      <c r="H316" s="47"/>
      <c r="I316" s="45"/>
    </row>
    <row r="317" spans="1:9" s="96" customFormat="1" ht="28.5">
      <c r="A317" s="96" t="s">
        <v>265</v>
      </c>
      <c r="B317" s="96" t="s">
        <v>263</v>
      </c>
      <c r="C317" s="96" t="s">
        <v>98</v>
      </c>
      <c r="D317" s="96" t="s">
        <v>16</v>
      </c>
      <c r="E317" s="96">
        <v>1</v>
      </c>
      <c r="F317" s="97">
        <f>TRUNC(G319,2)</f>
        <v>1963.5</v>
      </c>
      <c r="G317" s="98">
        <f>TRUNC(F317*1.2338,2)</f>
        <v>2422.56</v>
      </c>
      <c r="H317" s="99">
        <f>TRUNC(F317*E317,2)</f>
        <v>1963.5</v>
      </c>
      <c r="I317" s="99">
        <f>TRUNC(E317*G317,2)</f>
        <v>2422.56</v>
      </c>
    </row>
    <row r="318" spans="2:9" s="64" customFormat="1" ht="14.25">
      <c r="B318" s="64" t="s">
        <v>60</v>
      </c>
      <c r="C318" s="64" t="s">
        <v>99</v>
      </c>
      <c r="D318" s="64" t="s">
        <v>12</v>
      </c>
      <c r="E318" s="64">
        <v>1</v>
      </c>
      <c r="F318" s="65">
        <f>TRUNC(1963.5,2)</f>
        <v>1963.5</v>
      </c>
      <c r="G318" s="60">
        <f>TRUNC(E318*F318,2)</f>
        <v>1963.5</v>
      </c>
      <c r="H318" s="61"/>
      <c r="I318" s="61"/>
    </row>
    <row r="319" spans="5:9" s="64" customFormat="1" ht="14.25">
      <c r="E319" s="64" t="s">
        <v>7</v>
      </c>
      <c r="F319" s="65"/>
      <c r="G319" s="60">
        <f>TRUNC(SUM(G318:G318),2)</f>
        <v>1963.5</v>
      </c>
      <c r="H319" s="61"/>
      <c r="I319" s="61"/>
    </row>
    <row r="320" spans="1:9" s="96" customFormat="1" ht="14.25">
      <c r="A320" s="96" t="s">
        <v>266</v>
      </c>
      <c r="B320" s="96" t="s">
        <v>264</v>
      </c>
      <c r="C320" s="96" t="s">
        <v>101</v>
      </c>
      <c r="D320" s="96" t="s">
        <v>16</v>
      </c>
      <c r="E320" s="96">
        <v>1</v>
      </c>
      <c r="F320" s="97">
        <f>TRUNC(G322,2)</f>
        <v>55.95</v>
      </c>
      <c r="G320" s="98">
        <f>TRUNC(F320*1.2338,2)</f>
        <v>69.03</v>
      </c>
      <c r="H320" s="99">
        <f>TRUNC(F320*E320,2)</f>
        <v>55.95</v>
      </c>
      <c r="I320" s="99">
        <f>TRUNC(E320*G320,2)</f>
        <v>69.03</v>
      </c>
    </row>
    <row r="321" spans="2:9" s="64" customFormat="1" ht="14.25">
      <c r="B321" s="64" t="s">
        <v>17</v>
      </c>
      <c r="C321" s="64" t="s">
        <v>102</v>
      </c>
      <c r="D321" s="64" t="s">
        <v>12</v>
      </c>
      <c r="E321" s="64">
        <v>1</v>
      </c>
      <c r="F321" s="65">
        <f>TRUNC(55.95,2)</f>
        <v>55.95</v>
      </c>
      <c r="G321" s="60">
        <f>TRUNC(E321*F321,2)</f>
        <v>55.95</v>
      </c>
      <c r="H321" s="61"/>
      <c r="I321" s="61"/>
    </row>
    <row r="322" spans="5:9" s="64" customFormat="1" ht="14.25">
      <c r="E322" s="64" t="s">
        <v>7</v>
      </c>
      <c r="F322" s="65"/>
      <c r="G322" s="60">
        <f>TRUNC(SUM(G321:G321),2)</f>
        <v>55.95</v>
      </c>
      <c r="H322" s="61"/>
      <c r="I322" s="61"/>
    </row>
    <row r="323" spans="1:9" s="39" customFormat="1" ht="15.75">
      <c r="A323" s="48" t="s">
        <v>52</v>
      </c>
      <c r="B323" s="50"/>
      <c r="C323" s="49"/>
      <c r="D323" s="50"/>
      <c r="E323" s="50"/>
      <c r="F323" s="50" t="s">
        <v>388</v>
      </c>
      <c r="G323" s="50"/>
      <c r="H323" s="51">
        <f>H320+H317</f>
        <v>2019.45</v>
      </c>
      <c r="I323" s="52">
        <f>I320+I317</f>
        <v>2491.59</v>
      </c>
    </row>
    <row r="324" spans="1:9" s="38" customFormat="1" ht="15.75">
      <c r="A324" s="38" t="s">
        <v>372</v>
      </c>
      <c r="B324" s="46"/>
      <c r="C324" s="47" t="s">
        <v>70</v>
      </c>
      <c r="D324" s="47"/>
      <c r="E324" s="47"/>
      <c r="F324" s="47"/>
      <c r="G324" s="47"/>
      <c r="H324" s="47"/>
      <c r="I324" s="45"/>
    </row>
    <row r="325" spans="1:9" s="96" customFormat="1" ht="28.5">
      <c r="A325" s="96" t="s">
        <v>373</v>
      </c>
      <c r="B325" s="96" t="s">
        <v>267</v>
      </c>
      <c r="C325" s="96" t="s">
        <v>203</v>
      </c>
      <c r="D325" s="96" t="s">
        <v>47</v>
      </c>
      <c r="E325" s="96">
        <v>0.985</v>
      </c>
      <c r="F325" s="97">
        <f>TRUNC(G327,2)</f>
        <v>11.37</v>
      </c>
      <c r="G325" s="98">
        <f>TRUNC(F325*1.2338,2)</f>
        <v>14.02</v>
      </c>
      <c r="H325" s="99">
        <f>TRUNC(F325*E325,2)</f>
        <v>11.19</v>
      </c>
      <c r="I325" s="99">
        <f>TRUNC(E325*G325,2)</f>
        <v>13.8</v>
      </c>
    </row>
    <row r="326" spans="2:9" s="64" customFormat="1" ht="42.75">
      <c r="B326" s="64" t="s">
        <v>268</v>
      </c>
      <c r="C326" s="64" t="s">
        <v>269</v>
      </c>
      <c r="D326" s="64" t="s">
        <v>51</v>
      </c>
      <c r="E326" s="64">
        <v>0.0843</v>
      </c>
      <c r="F326" s="65">
        <f>TRUNC(134.91,2)</f>
        <v>134.91</v>
      </c>
      <c r="G326" s="60">
        <f>TRUNC(E326*F326,2)</f>
        <v>11.37</v>
      </c>
      <c r="H326" s="61"/>
      <c r="I326" s="61"/>
    </row>
    <row r="327" spans="5:9" s="64" customFormat="1" ht="14.25">
      <c r="E327" s="64" t="s">
        <v>7</v>
      </c>
      <c r="F327" s="65"/>
      <c r="G327" s="60">
        <f>TRUNC(SUM(G326:G326),2)</f>
        <v>11.37</v>
      </c>
      <c r="H327" s="61"/>
      <c r="I327" s="61"/>
    </row>
    <row r="328" spans="1:9" s="96" customFormat="1" ht="14.25">
      <c r="A328" s="96" t="s">
        <v>374</v>
      </c>
      <c r="B328" s="96" t="s">
        <v>270</v>
      </c>
      <c r="C328" s="96" t="s">
        <v>207</v>
      </c>
      <c r="D328" s="96" t="s">
        <v>63</v>
      </c>
      <c r="E328" s="96">
        <v>5.91</v>
      </c>
      <c r="F328" s="97">
        <f>TRUNC(G330,2)</f>
        <v>0.6</v>
      </c>
      <c r="G328" s="98">
        <f>TRUNC(F328*1.2338,2)</f>
        <v>0.74</v>
      </c>
      <c r="H328" s="99">
        <f>TRUNC(F328*E328,2)</f>
        <v>3.54</v>
      </c>
      <c r="I328" s="99">
        <f>TRUNC(E328*G328,2)</f>
        <v>4.37</v>
      </c>
    </row>
    <row r="329" spans="2:9" s="64" customFormat="1" ht="42.75">
      <c r="B329" s="64" t="s">
        <v>268</v>
      </c>
      <c r="C329" s="64" t="s">
        <v>269</v>
      </c>
      <c r="D329" s="64" t="s">
        <v>51</v>
      </c>
      <c r="E329" s="64">
        <v>0.0045</v>
      </c>
      <c r="F329" s="65">
        <f>TRUNC(134.91,2)</f>
        <v>134.91</v>
      </c>
      <c r="G329" s="60">
        <f>TRUNC(E329*F329,2)</f>
        <v>0.6</v>
      </c>
      <c r="H329" s="61"/>
      <c r="I329" s="61"/>
    </row>
    <row r="330" spans="5:9" s="64" customFormat="1" ht="14.25">
      <c r="E330" s="64" t="s">
        <v>7</v>
      </c>
      <c r="F330" s="65"/>
      <c r="G330" s="60">
        <f>TRUNC(SUM(G329:G329),2)</f>
        <v>0.6</v>
      </c>
      <c r="H330" s="61"/>
      <c r="I330" s="61"/>
    </row>
    <row r="331" spans="1:9" s="96" customFormat="1" ht="57">
      <c r="A331" s="96" t="s">
        <v>465</v>
      </c>
      <c r="B331" s="96" t="s">
        <v>629</v>
      </c>
      <c r="C331" s="96" t="s">
        <v>460</v>
      </c>
      <c r="D331" s="96" t="s">
        <v>12</v>
      </c>
      <c r="E331" s="96">
        <v>2</v>
      </c>
      <c r="F331" s="97">
        <f>TRUNC(G334,2)</f>
        <v>238.94</v>
      </c>
      <c r="G331" s="98">
        <f>TRUNC(F331*1.2338,2)</f>
        <v>294.8</v>
      </c>
      <c r="H331" s="99">
        <f>TRUNC(F331*E331,2)</f>
        <v>477.88</v>
      </c>
      <c r="I331" s="99">
        <f>TRUNC(E331*G331,2)</f>
        <v>589.6</v>
      </c>
    </row>
    <row r="332" spans="2:9" s="64" customFormat="1" ht="14.25">
      <c r="B332" s="64" t="s">
        <v>209</v>
      </c>
      <c r="C332" s="64" t="s">
        <v>210</v>
      </c>
      <c r="D332" s="64" t="s">
        <v>6</v>
      </c>
      <c r="E332" s="64">
        <v>0.618</v>
      </c>
      <c r="F332" s="65">
        <f>TRUNC(14.47,2)</f>
        <v>14.47</v>
      </c>
      <c r="G332" s="60">
        <f>TRUNC(E332*F332,2)</f>
        <v>8.94</v>
      </c>
      <c r="H332" s="61"/>
      <c r="I332" s="61"/>
    </row>
    <row r="333" spans="2:9" s="64" customFormat="1" ht="28.5">
      <c r="B333" s="64" t="s">
        <v>461</v>
      </c>
      <c r="C333" s="64" t="s">
        <v>462</v>
      </c>
      <c r="D333" s="64" t="s">
        <v>12</v>
      </c>
      <c r="E333" s="64">
        <v>1</v>
      </c>
      <c r="F333" s="65">
        <f>TRUNC(230,2)</f>
        <v>230</v>
      </c>
      <c r="G333" s="60">
        <f>TRUNC(E333*F333,2)</f>
        <v>230</v>
      </c>
      <c r="H333" s="61"/>
      <c r="I333" s="61"/>
    </row>
    <row r="334" spans="5:9" s="64" customFormat="1" ht="14.25">
      <c r="E334" s="64" t="s">
        <v>7</v>
      </c>
      <c r="F334" s="65"/>
      <c r="G334" s="60">
        <f>TRUNC(SUM(G332:G333),2)</f>
        <v>238.94</v>
      </c>
      <c r="H334" s="61"/>
      <c r="I334" s="61"/>
    </row>
    <row r="335" spans="1:9" s="96" customFormat="1" ht="28.5">
      <c r="A335" s="96" t="s">
        <v>466</v>
      </c>
      <c r="B335" s="96" t="s">
        <v>630</v>
      </c>
      <c r="C335" s="96" t="s">
        <v>464</v>
      </c>
      <c r="D335" s="96" t="s">
        <v>1</v>
      </c>
      <c r="E335" s="96">
        <v>5</v>
      </c>
      <c r="F335" s="97">
        <f>TRUNC(G337,2)</f>
        <v>17.13</v>
      </c>
      <c r="G335" s="98">
        <f>TRUNC(F335*1.2338,2)</f>
        <v>21.13</v>
      </c>
      <c r="H335" s="99">
        <f>TRUNC(F335*E335,2)</f>
        <v>85.65</v>
      </c>
      <c r="I335" s="99">
        <f>TRUNC(E335*G335,2)</f>
        <v>105.65</v>
      </c>
    </row>
    <row r="336" spans="2:9" s="64" customFormat="1" ht="14.25">
      <c r="B336" s="64" t="s">
        <v>209</v>
      </c>
      <c r="C336" s="64" t="s">
        <v>210</v>
      </c>
      <c r="D336" s="64" t="s">
        <v>6</v>
      </c>
      <c r="E336" s="64">
        <v>1.1844999999999999</v>
      </c>
      <c r="F336" s="65">
        <f>TRUNC(14.47,2)</f>
        <v>14.47</v>
      </c>
      <c r="G336" s="60">
        <f>TRUNC(E336*F336,2)</f>
        <v>17.13</v>
      </c>
      <c r="H336" s="61"/>
      <c r="I336" s="61"/>
    </row>
    <row r="337" spans="5:9" s="64" customFormat="1" ht="14.25">
      <c r="E337" s="64" t="s">
        <v>7</v>
      </c>
      <c r="F337" s="65"/>
      <c r="G337" s="60">
        <f>TRUNC(SUM(G336:G336),2)</f>
        <v>17.13</v>
      </c>
      <c r="H337" s="61"/>
      <c r="I337" s="61"/>
    </row>
    <row r="338" spans="1:9" s="96" customFormat="1" ht="14.25">
      <c r="A338" s="96" t="s">
        <v>651</v>
      </c>
      <c r="B338" s="96" t="s">
        <v>631</v>
      </c>
      <c r="C338" s="96" t="s">
        <v>476</v>
      </c>
      <c r="D338" s="96" t="s">
        <v>1</v>
      </c>
      <c r="E338" s="96">
        <v>4.9</v>
      </c>
      <c r="F338" s="97">
        <f>TRUNC(G342,2)</f>
        <v>4.07</v>
      </c>
      <c r="G338" s="98">
        <f>TRUNC(F338*1.2338,2)</f>
        <v>5.02</v>
      </c>
      <c r="H338" s="99">
        <f>TRUNC(F338*E338,2)</f>
        <v>19.94</v>
      </c>
      <c r="I338" s="99">
        <f>TRUNC(E338*G338,2)</f>
        <v>24.59</v>
      </c>
    </row>
    <row r="339" spans="2:9" s="64" customFormat="1" ht="14.25">
      <c r="B339" s="64" t="s">
        <v>138</v>
      </c>
      <c r="C339" s="64" t="s">
        <v>139</v>
      </c>
      <c r="D339" s="64" t="s">
        <v>6</v>
      </c>
      <c r="E339" s="64">
        <v>0.018</v>
      </c>
      <c r="F339" s="65">
        <f>TRUNC(21.14,2)</f>
        <v>21.14</v>
      </c>
      <c r="G339" s="60">
        <f>TRUNC(E339*F339,2)</f>
        <v>0.38</v>
      </c>
      <c r="H339" s="61"/>
      <c r="I339" s="61"/>
    </row>
    <row r="340" spans="2:9" s="64" customFormat="1" ht="28.5">
      <c r="B340" s="64" t="s">
        <v>632</v>
      </c>
      <c r="C340" s="64" t="s">
        <v>633</v>
      </c>
      <c r="D340" s="64" t="s">
        <v>51</v>
      </c>
      <c r="E340" s="64">
        <v>0.018</v>
      </c>
      <c r="F340" s="65">
        <f>TRUNC(140.65,2)</f>
        <v>140.65</v>
      </c>
      <c r="G340" s="60">
        <f>TRUNC(E340*F340,2)</f>
        <v>2.53</v>
      </c>
      <c r="H340" s="61"/>
      <c r="I340" s="61"/>
    </row>
    <row r="341" spans="2:9" s="64" customFormat="1" ht="42.75">
      <c r="B341" s="64" t="s">
        <v>634</v>
      </c>
      <c r="C341" s="64" t="s">
        <v>635</v>
      </c>
      <c r="D341" s="64" t="s">
        <v>51</v>
      </c>
      <c r="E341" s="64">
        <v>0.007</v>
      </c>
      <c r="F341" s="65">
        <f>TRUNC(166.3,2)</f>
        <v>166.3</v>
      </c>
      <c r="G341" s="60">
        <f>TRUNC(E341*F341,2)</f>
        <v>1.16</v>
      </c>
      <c r="H341" s="61"/>
      <c r="I341" s="61"/>
    </row>
    <row r="342" spans="5:9" s="64" customFormat="1" ht="14.25">
      <c r="E342" s="64" t="s">
        <v>7</v>
      </c>
      <c r="F342" s="65"/>
      <c r="G342" s="60">
        <f>TRUNC(SUM(G339:G341),2)</f>
        <v>4.07</v>
      </c>
      <c r="H342" s="61"/>
      <c r="I342" s="61"/>
    </row>
    <row r="343" spans="1:9" s="96" customFormat="1" ht="28.5">
      <c r="A343" s="96" t="s">
        <v>652</v>
      </c>
      <c r="B343" s="96" t="s">
        <v>636</v>
      </c>
      <c r="C343" s="96" t="s">
        <v>482</v>
      </c>
      <c r="D343" s="96" t="s">
        <v>483</v>
      </c>
      <c r="E343" s="96">
        <v>73.5</v>
      </c>
      <c r="F343" s="97">
        <f>TRUNC(G346,2)</f>
        <v>1.58</v>
      </c>
      <c r="G343" s="98">
        <f>TRUNC(F343*1.2338,2)</f>
        <v>1.94</v>
      </c>
      <c r="H343" s="99">
        <f>TRUNC(F343*E343,2)</f>
        <v>116.13</v>
      </c>
      <c r="I343" s="99">
        <f>TRUNC(E343*G343,2)</f>
        <v>142.59</v>
      </c>
    </row>
    <row r="344" spans="2:9" s="64" customFormat="1" ht="42.75">
      <c r="B344" s="64" t="s">
        <v>637</v>
      </c>
      <c r="C344" s="64" t="s">
        <v>638</v>
      </c>
      <c r="D344" s="64" t="s">
        <v>468</v>
      </c>
      <c r="E344" s="64">
        <v>0.0026</v>
      </c>
      <c r="F344" s="65">
        <f>TRUNC(37.11,2)</f>
        <v>37.11</v>
      </c>
      <c r="G344" s="60">
        <f>TRUNC(E344*F344,2)</f>
        <v>0.09</v>
      </c>
      <c r="H344" s="61"/>
      <c r="I344" s="61"/>
    </row>
    <row r="345" spans="2:9" s="64" customFormat="1" ht="42.75">
      <c r="B345" s="64" t="s">
        <v>639</v>
      </c>
      <c r="C345" s="64" t="s">
        <v>640</v>
      </c>
      <c r="D345" s="64" t="s">
        <v>51</v>
      </c>
      <c r="E345" s="64">
        <v>0.01042</v>
      </c>
      <c r="F345" s="65">
        <f>TRUNC(143.52,2)</f>
        <v>143.52</v>
      </c>
      <c r="G345" s="60">
        <f>TRUNC(E345*F345,2)</f>
        <v>1.49</v>
      </c>
      <c r="H345" s="61"/>
      <c r="I345" s="61"/>
    </row>
    <row r="346" spans="5:9" s="64" customFormat="1" ht="14.25">
      <c r="E346" s="64" t="s">
        <v>7</v>
      </c>
      <c r="F346" s="65"/>
      <c r="G346" s="60">
        <f>TRUNC(SUM(G344:G345),2)</f>
        <v>1.58</v>
      </c>
      <c r="H346" s="61"/>
      <c r="I346" s="61"/>
    </row>
    <row r="347" spans="1:9" s="39" customFormat="1" ht="15.75">
      <c r="A347" s="48" t="s">
        <v>52</v>
      </c>
      <c r="B347" s="50"/>
      <c r="C347" s="49"/>
      <c r="D347" s="50"/>
      <c r="E347" s="50"/>
      <c r="F347" s="50" t="s">
        <v>62</v>
      </c>
      <c r="G347" s="50"/>
      <c r="H347" s="51">
        <f>H328+H325</f>
        <v>14.73</v>
      </c>
      <c r="I347" s="51">
        <f>I328+I325+I343+I338+I335+I331</f>
        <v>880.6</v>
      </c>
    </row>
    <row r="348" spans="1:9" s="39" customFormat="1" ht="15.75">
      <c r="A348" s="48" t="s">
        <v>52</v>
      </c>
      <c r="B348" s="50"/>
      <c r="C348" s="49"/>
      <c r="D348" s="50"/>
      <c r="E348" s="50"/>
      <c r="F348" s="50" t="s">
        <v>64</v>
      </c>
      <c r="G348" s="50"/>
      <c r="H348" s="52">
        <f>H323+H179+H157+H100+H215+H347+H315</f>
        <v>65314.99</v>
      </c>
      <c r="I348" s="52">
        <f>I323+I179+I157+I100+I215+I347+I315</f>
        <v>82258.22</v>
      </c>
    </row>
    <row r="349" spans="1:9" s="39" customFormat="1" ht="15.75">
      <c r="A349" s="48"/>
      <c r="B349" s="50"/>
      <c r="C349" s="49"/>
      <c r="D349" s="50"/>
      <c r="E349" s="50"/>
      <c r="F349" s="50"/>
      <c r="G349" s="50"/>
      <c r="H349" s="51"/>
      <c r="I349" s="52"/>
    </row>
    <row r="350" spans="1:9" ht="24.75" customHeight="1">
      <c r="A350" s="139"/>
      <c r="B350" s="139"/>
      <c r="C350" s="139"/>
      <c r="D350" s="139"/>
      <c r="E350" s="139"/>
      <c r="F350" s="139"/>
      <c r="G350" s="139"/>
      <c r="H350" s="139"/>
      <c r="I350" s="139"/>
    </row>
    <row r="351" spans="1:7" ht="24.75" customHeight="1">
      <c r="A351" s="84"/>
      <c r="B351" s="84"/>
      <c r="C351" s="84"/>
      <c r="D351" s="84"/>
      <c r="E351" s="84"/>
      <c r="F351" s="84"/>
      <c r="G351" s="84"/>
    </row>
    <row r="359" ht="15">
      <c r="B359" s="78"/>
    </row>
  </sheetData>
  <sheetProtection/>
  <mergeCells count="14">
    <mergeCell ref="D3:G3"/>
    <mergeCell ref="D4:G4"/>
    <mergeCell ref="D5:G5"/>
    <mergeCell ref="D6:G6"/>
    <mergeCell ref="D7:G7"/>
    <mergeCell ref="D8:G8"/>
    <mergeCell ref="A350:I350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2" max="2" width="17.8515625" style="0" bestFit="1" customWidth="1"/>
    <col min="3" max="3" width="104.00390625" style="1" customWidth="1"/>
    <col min="4" max="4" width="8.7109375" style="0" bestFit="1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4" t="s">
        <v>106</v>
      </c>
      <c r="E3" s="125"/>
      <c r="F3" s="125"/>
      <c r="G3" s="126"/>
    </row>
    <row r="4" spans="1:7" ht="15.75">
      <c r="A4" s="9"/>
      <c r="B4" s="10"/>
      <c r="C4" s="16" t="s">
        <v>274</v>
      </c>
      <c r="D4" s="127" t="s">
        <v>276</v>
      </c>
      <c r="E4" s="128"/>
      <c r="F4" s="128"/>
      <c r="G4" s="129"/>
    </row>
    <row r="5" spans="1:7" ht="15.75">
      <c r="A5" s="9"/>
      <c r="B5" s="10"/>
      <c r="C5" s="40" t="s">
        <v>696</v>
      </c>
      <c r="D5" s="130" t="s">
        <v>195</v>
      </c>
      <c r="E5" s="131"/>
      <c r="F5" s="131"/>
      <c r="G5" s="132"/>
    </row>
    <row r="6" spans="1:7" ht="15.75">
      <c r="A6" s="9"/>
      <c r="B6" s="10"/>
      <c r="C6" s="17" t="s">
        <v>656</v>
      </c>
      <c r="D6" s="133" t="s">
        <v>196</v>
      </c>
      <c r="E6" s="134"/>
      <c r="F6" s="134"/>
      <c r="G6" s="135"/>
    </row>
    <row r="7" spans="1:7" ht="15.75">
      <c r="A7" s="9"/>
      <c r="B7" s="10"/>
      <c r="C7" s="41"/>
      <c r="D7" s="133" t="s">
        <v>197</v>
      </c>
      <c r="E7" s="134"/>
      <c r="F7" s="134"/>
      <c r="G7" s="135"/>
    </row>
    <row r="8" spans="1:7" ht="15.75">
      <c r="A8" s="18"/>
      <c r="B8" s="19"/>
      <c r="C8" s="20"/>
      <c r="D8" s="136" t="s">
        <v>65</v>
      </c>
      <c r="E8" s="137"/>
      <c r="F8" s="137"/>
      <c r="G8" s="138"/>
    </row>
    <row r="9" spans="1:7" ht="23.25">
      <c r="A9" s="140" t="s">
        <v>697</v>
      </c>
      <c r="B9" s="141"/>
      <c r="C9" s="141"/>
      <c r="D9" s="141"/>
      <c r="E9" s="141"/>
      <c r="F9" s="141"/>
      <c r="G9" s="141"/>
    </row>
    <row r="10" spans="1:9" s="43" customFormat="1" ht="12.75" customHeight="1">
      <c r="A10" s="120" t="s">
        <v>29</v>
      </c>
      <c r="B10" s="121" t="s">
        <v>66</v>
      </c>
      <c r="C10" s="121" t="s">
        <v>30</v>
      </c>
      <c r="D10" s="120" t="s">
        <v>12</v>
      </c>
      <c r="E10" s="122" t="s">
        <v>31</v>
      </c>
      <c r="F10" s="123" t="s">
        <v>32</v>
      </c>
      <c r="G10" s="123"/>
      <c r="H10" s="123"/>
      <c r="I10" s="123"/>
    </row>
    <row r="11" spans="1:9" s="43" customFormat="1" ht="12.75" customHeight="1">
      <c r="A11" s="120"/>
      <c r="B11" s="121"/>
      <c r="C11" s="121"/>
      <c r="D11" s="120"/>
      <c r="E11" s="122"/>
      <c r="F11" s="44" t="s">
        <v>111</v>
      </c>
      <c r="G11" s="44" t="s">
        <v>112</v>
      </c>
      <c r="H11" s="44" t="s">
        <v>113</v>
      </c>
      <c r="I11" s="42" t="s">
        <v>114</v>
      </c>
    </row>
    <row r="12" spans="1:9" s="38" customFormat="1" ht="15.75">
      <c r="A12" s="38" t="s">
        <v>18</v>
      </c>
      <c r="B12" s="46"/>
      <c r="C12" s="47" t="s">
        <v>19</v>
      </c>
      <c r="D12" s="47"/>
      <c r="E12" s="47"/>
      <c r="F12" s="47"/>
      <c r="G12" s="47"/>
      <c r="H12" s="47"/>
      <c r="I12" s="45"/>
    </row>
    <row r="13" spans="1:11" s="115" customFormat="1" ht="42.75">
      <c r="A13" s="109" t="s">
        <v>8</v>
      </c>
      <c r="B13" s="110" t="s">
        <v>208</v>
      </c>
      <c r="C13" s="111" t="s">
        <v>108</v>
      </c>
      <c r="D13" s="112" t="s">
        <v>0</v>
      </c>
      <c r="E13" s="113">
        <v>6</v>
      </c>
      <c r="F13" s="114">
        <f>TRUNC('NÃO DESONERADA 18X10F'!F13,2)</f>
        <v>175.2</v>
      </c>
      <c r="G13" s="98">
        <f aca="true" t="shared" si="0" ref="G13:G20">TRUNC(F13*1.2338,2)</f>
        <v>216.16</v>
      </c>
      <c r="H13" s="99">
        <f aca="true" t="shared" si="1" ref="H13:H20">TRUNC(E13*F13,2)</f>
        <v>1051.2</v>
      </c>
      <c r="I13" s="99">
        <f aca="true" t="shared" si="2" ref="I13:I20">TRUNC(E13*G13,2)</f>
        <v>1296.96</v>
      </c>
      <c r="K13" s="116"/>
    </row>
    <row r="14" spans="1:12" s="115" customFormat="1" ht="57">
      <c r="A14" s="109" t="s">
        <v>9</v>
      </c>
      <c r="B14" s="110" t="s">
        <v>213</v>
      </c>
      <c r="C14" s="96" t="s">
        <v>199</v>
      </c>
      <c r="D14" s="112" t="s">
        <v>0</v>
      </c>
      <c r="E14" s="114">
        <v>110.09</v>
      </c>
      <c r="F14" s="114">
        <f>TRUNC('NÃO DESONERADA 18X10F'!F20,2)</f>
        <v>17.8</v>
      </c>
      <c r="G14" s="98">
        <f t="shared" si="0"/>
        <v>21.96</v>
      </c>
      <c r="H14" s="99">
        <f t="shared" si="1"/>
        <v>1959.6</v>
      </c>
      <c r="I14" s="99">
        <f t="shared" si="2"/>
        <v>2417.57</v>
      </c>
      <c r="K14" s="116"/>
      <c r="L14" s="115">
        <f>73.4*2.2</f>
        <v>161.48000000000002</v>
      </c>
    </row>
    <row r="15" spans="1:11" s="115" customFormat="1" ht="57">
      <c r="A15" s="109" t="s">
        <v>10</v>
      </c>
      <c r="B15" s="110" t="s">
        <v>214</v>
      </c>
      <c r="C15" s="96" t="s">
        <v>145</v>
      </c>
      <c r="D15" s="112" t="s">
        <v>0</v>
      </c>
      <c r="E15" s="114">
        <v>8</v>
      </c>
      <c r="F15" s="114">
        <f>TRUNC('NÃO DESONERADA 18X10F'!F27,2)</f>
        <v>369.34</v>
      </c>
      <c r="G15" s="98">
        <f t="shared" si="0"/>
        <v>455.69</v>
      </c>
      <c r="H15" s="99">
        <f t="shared" si="1"/>
        <v>2954.72</v>
      </c>
      <c r="I15" s="99">
        <f t="shared" si="2"/>
        <v>3645.52</v>
      </c>
      <c r="K15" s="116"/>
    </row>
    <row r="16" spans="1:11" s="115" customFormat="1" ht="14.25">
      <c r="A16" s="109" t="s">
        <v>11</v>
      </c>
      <c r="B16" s="110" t="s">
        <v>488</v>
      </c>
      <c r="C16" s="96" t="s">
        <v>490</v>
      </c>
      <c r="D16" s="112" t="s">
        <v>12</v>
      </c>
      <c r="E16" s="114">
        <v>1</v>
      </c>
      <c r="F16" s="114">
        <f>TRUNC('NÃO DESONERADA 18X10F'!F46,2)</f>
        <v>1501.06</v>
      </c>
      <c r="G16" s="98">
        <f t="shared" si="0"/>
        <v>1852</v>
      </c>
      <c r="H16" s="99">
        <f t="shared" si="1"/>
        <v>1501.06</v>
      </c>
      <c r="I16" s="99">
        <f t="shared" si="2"/>
        <v>1852</v>
      </c>
      <c r="K16" s="116"/>
    </row>
    <row r="17" spans="1:11" s="115" customFormat="1" ht="42.75">
      <c r="A17" s="109" t="s">
        <v>275</v>
      </c>
      <c r="B17" s="110" t="s">
        <v>523</v>
      </c>
      <c r="C17" s="96" t="s">
        <v>525</v>
      </c>
      <c r="D17" s="112" t="s">
        <v>12</v>
      </c>
      <c r="E17" s="114">
        <v>1</v>
      </c>
      <c r="F17" s="114">
        <f>TRUNC('NÃO DESONERADA 18X10F'!F67,2)</f>
        <v>3008.86</v>
      </c>
      <c r="G17" s="98">
        <f t="shared" si="0"/>
        <v>3712.33</v>
      </c>
      <c r="H17" s="99">
        <f t="shared" si="1"/>
        <v>3008.86</v>
      </c>
      <c r="I17" s="99">
        <f t="shared" si="2"/>
        <v>3712.33</v>
      </c>
      <c r="K17" s="116"/>
    </row>
    <row r="18" spans="1:11" s="115" customFormat="1" ht="42.75">
      <c r="A18" s="109" t="s">
        <v>445</v>
      </c>
      <c r="B18" s="110" t="s">
        <v>218</v>
      </c>
      <c r="C18" s="96" t="s">
        <v>163</v>
      </c>
      <c r="D18" s="112" t="s">
        <v>0</v>
      </c>
      <c r="E18" s="114">
        <v>216.9</v>
      </c>
      <c r="F18" s="114">
        <f>TRUNC('NÃO DESONERADA 18X10F'!F85,2)</f>
        <v>9.4</v>
      </c>
      <c r="G18" s="98">
        <f t="shared" si="0"/>
        <v>11.59</v>
      </c>
      <c r="H18" s="99">
        <f t="shared" si="1"/>
        <v>2038.86</v>
      </c>
      <c r="I18" s="99">
        <f t="shared" si="2"/>
        <v>2513.87</v>
      </c>
      <c r="K18" s="116"/>
    </row>
    <row r="19" spans="1:11" s="115" customFormat="1" ht="28.5">
      <c r="A19" s="109" t="s">
        <v>649</v>
      </c>
      <c r="B19" s="110" t="s">
        <v>678</v>
      </c>
      <c r="C19" s="96" t="s">
        <v>679</v>
      </c>
      <c r="D19" s="112" t="s">
        <v>3</v>
      </c>
      <c r="E19" s="114">
        <v>22.2</v>
      </c>
      <c r="F19" s="114">
        <f>TRUNC('NÃO DESONERADA 18X10F'!F90,2)</f>
        <v>11.17</v>
      </c>
      <c r="G19" s="98">
        <f t="shared" si="0"/>
        <v>13.78</v>
      </c>
      <c r="H19" s="99">
        <f t="shared" si="1"/>
        <v>247.97</v>
      </c>
      <c r="I19" s="99">
        <f t="shared" si="2"/>
        <v>305.91</v>
      </c>
      <c r="K19" s="116"/>
    </row>
    <row r="20" spans="1:11" s="115" customFormat="1" ht="42.75">
      <c r="A20" s="109" t="s">
        <v>650</v>
      </c>
      <c r="B20" s="110" t="s">
        <v>579</v>
      </c>
      <c r="C20" s="96" t="s">
        <v>543</v>
      </c>
      <c r="D20" s="112" t="s">
        <v>6</v>
      </c>
      <c r="E20" s="114">
        <v>5</v>
      </c>
      <c r="F20" s="114">
        <f>TRUNC('NÃO DESONERADA 18X10F'!F93,2)</f>
        <v>50.74</v>
      </c>
      <c r="G20" s="98">
        <f t="shared" si="0"/>
        <v>62.6</v>
      </c>
      <c r="H20" s="99">
        <f t="shared" si="1"/>
        <v>253.7</v>
      </c>
      <c r="I20" s="99">
        <f t="shared" si="2"/>
        <v>313</v>
      </c>
      <c r="K20" s="116"/>
    </row>
    <row r="21" spans="1:9" s="39" customFormat="1" ht="15.75">
      <c r="A21" s="48" t="s">
        <v>52</v>
      </c>
      <c r="B21" s="50"/>
      <c r="C21" s="49"/>
      <c r="D21" s="50"/>
      <c r="E21" s="50"/>
      <c r="F21" s="50"/>
      <c r="G21" s="50" t="s">
        <v>56</v>
      </c>
      <c r="H21" s="52">
        <f>H15+H14+H13+H18+H19+H20+H17+H16</f>
        <v>13015.97</v>
      </c>
      <c r="I21" s="52">
        <f>I15+I14+I13+I18+I19+I20+I17+I16</f>
        <v>16057.16</v>
      </c>
    </row>
    <row r="22" spans="1:9" s="38" customFormat="1" ht="15.75">
      <c r="A22" s="38" t="s">
        <v>20</v>
      </c>
      <c r="B22" s="46"/>
      <c r="C22" s="47" t="s">
        <v>50</v>
      </c>
      <c r="D22" s="47"/>
      <c r="E22" s="47"/>
      <c r="F22" s="47"/>
      <c r="G22" s="47"/>
      <c r="H22" s="47"/>
      <c r="I22" s="45"/>
    </row>
    <row r="23" spans="1:9" s="96" customFormat="1" ht="85.5">
      <c r="A23" s="96" t="s">
        <v>53</v>
      </c>
      <c r="B23" s="96" t="s">
        <v>223</v>
      </c>
      <c r="C23" s="96" t="s">
        <v>643</v>
      </c>
      <c r="D23" s="98" t="s">
        <v>0</v>
      </c>
      <c r="E23" s="98">
        <v>216.9</v>
      </c>
      <c r="F23" s="98">
        <f>TRUNC('NÃO DESONERADA 18X10F'!F102,2)</f>
        <v>83.45</v>
      </c>
      <c r="G23" s="98">
        <f aca="true" t="shared" si="3" ref="G23:G28">TRUNC(F23*1.2338,2)</f>
        <v>102.96</v>
      </c>
      <c r="H23" s="99">
        <f aca="true" t="shared" si="4" ref="H23:H28">TRUNC(E23*F23,2)</f>
        <v>18100.3</v>
      </c>
      <c r="I23" s="99">
        <f aca="true" t="shared" si="5" ref="I23:I28">TRUNC(E23*G23,2)</f>
        <v>22332.02</v>
      </c>
    </row>
    <row r="24" spans="1:12" s="96" customFormat="1" ht="57">
      <c r="A24" s="96" t="s">
        <v>446</v>
      </c>
      <c r="B24" s="96" t="s">
        <v>580</v>
      </c>
      <c r="C24" s="96" t="s">
        <v>416</v>
      </c>
      <c r="D24" s="98" t="s">
        <v>0</v>
      </c>
      <c r="E24" s="98">
        <v>1.5</v>
      </c>
      <c r="F24" s="98">
        <f>TRUNC('NÃO DESONERADA 18X10F'!F118,2)</f>
        <v>74.07</v>
      </c>
      <c r="G24" s="98">
        <f t="shared" si="3"/>
        <v>91.38</v>
      </c>
      <c r="H24" s="99">
        <f t="shared" si="4"/>
        <v>111.1</v>
      </c>
      <c r="I24" s="99">
        <f t="shared" si="5"/>
        <v>137.07</v>
      </c>
      <c r="L24" s="96">
        <f>87.68*11.1</f>
        <v>973.248</v>
      </c>
    </row>
    <row r="25" spans="1:12" s="96" customFormat="1" ht="42.75">
      <c r="A25" s="96" t="s">
        <v>447</v>
      </c>
      <c r="B25" s="96" t="s">
        <v>583</v>
      </c>
      <c r="C25" s="96" t="s">
        <v>424</v>
      </c>
      <c r="D25" s="98" t="s">
        <v>0</v>
      </c>
      <c r="E25" s="98">
        <v>3.6</v>
      </c>
      <c r="F25" s="98">
        <f>TRUNC('NÃO DESONERADA 18X10F'!F125,2)</f>
        <v>25.65</v>
      </c>
      <c r="G25" s="98">
        <f t="shared" si="3"/>
        <v>31.64</v>
      </c>
      <c r="H25" s="99">
        <f t="shared" si="4"/>
        <v>92.34</v>
      </c>
      <c r="I25" s="99">
        <f t="shared" si="5"/>
        <v>113.9</v>
      </c>
      <c r="L25" s="96">
        <f>29.74*22.2</f>
        <v>660.228</v>
      </c>
    </row>
    <row r="26" spans="1:9" s="96" customFormat="1" ht="28.5">
      <c r="A26" s="96" t="s">
        <v>448</v>
      </c>
      <c r="B26" s="96" t="s">
        <v>586</v>
      </c>
      <c r="C26" s="96" t="s">
        <v>428</v>
      </c>
      <c r="D26" s="98" t="s">
        <v>1</v>
      </c>
      <c r="E26" s="98">
        <v>0.05</v>
      </c>
      <c r="F26" s="98">
        <f>TRUNC('NÃO DESONERADA 18X10F'!F131,2)</f>
        <v>1510.3</v>
      </c>
      <c r="G26" s="98">
        <f t="shared" si="3"/>
        <v>1863.4</v>
      </c>
      <c r="H26" s="99">
        <f t="shared" si="4"/>
        <v>75.51</v>
      </c>
      <c r="I26" s="99">
        <f t="shared" si="5"/>
        <v>93.17</v>
      </c>
    </row>
    <row r="27" spans="1:9" s="96" customFormat="1" ht="42.75">
      <c r="A27" s="96" t="s">
        <v>694</v>
      </c>
      <c r="B27" s="96" t="s">
        <v>658</v>
      </c>
      <c r="C27" s="96" t="s">
        <v>671</v>
      </c>
      <c r="D27" s="98" t="s">
        <v>1</v>
      </c>
      <c r="E27" s="98">
        <v>0.4</v>
      </c>
      <c r="F27" s="98">
        <f>TRUNC('NÃO DESONERADA 18X10F'!F142,2)</f>
        <v>199.95</v>
      </c>
      <c r="G27" s="98">
        <f t="shared" si="3"/>
        <v>246.69</v>
      </c>
      <c r="H27" s="99">
        <f t="shared" si="4"/>
        <v>79.98</v>
      </c>
      <c r="I27" s="99">
        <f t="shared" si="5"/>
        <v>98.67</v>
      </c>
    </row>
    <row r="28" spans="1:9" s="96" customFormat="1" ht="42.75">
      <c r="A28" s="96" t="s">
        <v>695</v>
      </c>
      <c r="B28" s="96" t="s">
        <v>659</v>
      </c>
      <c r="C28" s="96" t="s">
        <v>660</v>
      </c>
      <c r="D28" s="98" t="s">
        <v>5</v>
      </c>
      <c r="E28" s="98">
        <v>40.13</v>
      </c>
      <c r="F28" s="98">
        <f>TRUNC('NÃO DESONERADA 18X10F'!F150,2)</f>
        <v>11.7</v>
      </c>
      <c r="G28" s="98">
        <f t="shared" si="3"/>
        <v>14.43</v>
      </c>
      <c r="H28" s="99">
        <f t="shared" si="4"/>
        <v>469.52</v>
      </c>
      <c r="I28" s="99">
        <f t="shared" si="5"/>
        <v>579.07</v>
      </c>
    </row>
    <row r="29" spans="1:9" s="39" customFormat="1" ht="15.75">
      <c r="A29" s="48" t="s">
        <v>52</v>
      </c>
      <c r="B29" s="50"/>
      <c r="C29" s="49"/>
      <c r="D29" s="50"/>
      <c r="E29" s="50"/>
      <c r="F29" s="50"/>
      <c r="G29" s="50" t="s">
        <v>191</v>
      </c>
      <c r="H29" s="51">
        <f>H23+H26+H25+H24</f>
        <v>18379.249999999996</v>
      </c>
      <c r="I29" s="51">
        <f>I23+I26+I25+I24+I27+I28</f>
        <v>23353.899999999998</v>
      </c>
    </row>
    <row r="30" spans="1:9" s="38" customFormat="1" ht="15.75">
      <c r="A30" s="38" t="s">
        <v>21</v>
      </c>
      <c r="B30" s="46"/>
      <c r="C30" s="47" t="s">
        <v>67</v>
      </c>
      <c r="D30" s="47"/>
      <c r="E30" s="47"/>
      <c r="F30" s="47"/>
      <c r="G30" s="47"/>
      <c r="H30" s="47"/>
      <c r="I30" s="45"/>
    </row>
    <row r="31" spans="1:9" s="96" customFormat="1" ht="42.75">
      <c r="A31" s="96" t="s">
        <v>54</v>
      </c>
      <c r="B31" s="96" t="s">
        <v>645</v>
      </c>
      <c r="C31" s="117" t="s">
        <v>646</v>
      </c>
      <c r="D31" s="96" t="s">
        <v>0</v>
      </c>
      <c r="E31" s="96">
        <v>118.94</v>
      </c>
      <c r="F31" s="97">
        <f>TRUNC('NÃO DESONERADA 18X10F'!F159,2)</f>
        <v>160.8</v>
      </c>
      <c r="G31" s="98">
        <f>TRUNC(F31*1.2338,2)</f>
        <v>198.39</v>
      </c>
      <c r="H31" s="99">
        <f>TRUNC(E31*F31,2)</f>
        <v>19125.55</v>
      </c>
      <c r="I31" s="99">
        <f>TRUNC(E31*G31,2)</f>
        <v>23596.5</v>
      </c>
    </row>
    <row r="32" spans="1:9" s="96" customFormat="1" ht="85.5">
      <c r="A32" s="96" t="s">
        <v>192</v>
      </c>
      <c r="B32" s="96" t="s">
        <v>469</v>
      </c>
      <c r="C32" s="117" t="s">
        <v>470</v>
      </c>
      <c r="D32" s="96" t="s">
        <v>0</v>
      </c>
      <c r="E32" s="96">
        <v>1.88</v>
      </c>
      <c r="F32" s="97">
        <f>TRUNC('NÃO DESONERADA 18X10F'!F167,2)</f>
        <v>531.94</v>
      </c>
      <c r="G32" s="98">
        <f>TRUNC(F32*1.2338,2)</f>
        <v>656.3</v>
      </c>
      <c r="H32" s="99">
        <f>TRUNC(E32*F32,2)</f>
        <v>1000.04</v>
      </c>
      <c r="I32" s="99">
        <f>TRUNC(E32*G32,2)</f>
        <v>1233.84</v>
      </c>
    </row>
    <row r="33" spans="1:9" s="96" customFormat="1" ht="57">
      <c r="A33" s="96" t="s">
        <v>474</v>
      </c>
      <c r="B33" s="96" t="s">
        <v>247</v>
      </c>
      <c r="C33" s="96" t="s">
        <v>647</v>
      </c>
      <c r="D33" s="96" t="s">
        <v>3</v>
      </c>
      <c r="E33" s="96">
        <v>25.4</v>
      </c>
      <c r="F33" s="97">
        <f>TRUNC('NÃO DESONERADA 18X10F'!F174,2)</f>
        <v>77.57</v>
      </c>
      <c r="G33" s="98">
        <f>TRUNC(F33*1.2338,2)</f>
        <v>95.7</v>
      </c>
      <c r="H33" s="99">
        <f>TRUNC(E33*F33,2)</f>
        <v>1970.27</v>
      </c>
      <c r="I33" s="99">
        <f>TRUNC(E33*G33,2)</f>
        <v>2430.78</v>
      </c>
    </row>
    <row r="34" spans="1:9" s="39" customFormat="1" ht="15.75">
      <c r="A34" s="48" t="s">
        <v>52</v>
      </c>
      <c r="B34" s="50"/>
      <c r="C34" s="49"/>
      <c r="D34" s="50"/>
      <c r="E34" s="50"/>
      <c r="F34" s="50"/>
      <c r="G34" s="50" t="s">
        <v>55</v>
      </c>
      <c r="H34" s="53">
        <f>H31+H33</f>
        <v>21095.82</v>
      </c>
      <c r="I34" s="53">
        <f>I31+I33</f>
        <v>26027.28</v>
      </c>
    </row>
    <row r="35" spans="1:9" s="38" customFormat="1" ht="15.75">
      <c r="A35" s="38" t="s">
        <v>22</v>
      </c>
      <c r="B35" s="46"/>
      <c r="C35" s="47" t="s">
        <v>68</v>
      </c>
      <c r="D35" s="47"/>
      <c r="E35" s="47"/>
      <c r="F35" s="47"/>
      <c r="G35" s="47"/>
      <c r="H35" s="47"/>
      <c r="I35" s="45"/>
    </row>
    <row r="36" spans="1:9" s="96" customFormat="1" ht="57">
      <c r="A36" s="96" t="s">
        <v>13</v>
      </c>
      <c r="B36" s="96" t="s">
        <v>250</v>
      </c>
      <c r="C36" s="96" t="s">
        <v>181</v>
      </c>
      <c r="D36" s="98" t="s">
        <v>0</v>
      </c>
      <c r="E36" s="98">
        <v>120.82</v>
      </c>
      <c r="F36" s="98">
        <f>TRUNC('NÃO DESONERADA 18X10F'!F181,2)</f>
        <v>16.73</v>
      </c>
      <c r="G36" s="98">
        <f>TRUNC(F36*1.2338,2)</f>
        <v>20.64</v>
      </c>
      <c r="H36" s="99">
        <f>TRUNC(E36*F36,2)</f>
        <v>2021.31</v>
      </c>
      <c r="I36" s="99">
        <f>TRUNC(E36*G36,2)</f>
        <v>2493.72</v>
      </c>
    </row>
    <row r="37" spans="1:12" s="96" customFormat="1" ht="42.75">
      <c r="A37" s="96" t="s">
        <v>14</v>
      </c>
      <c r="B37" s="96" t="s">
        <v>253</v>
      </c>
      <c r="C37" s="96" t="s">
        <v>182</v>
      </c>
      <c r="D37" s="96" t="s">
        <v>0</v>
      </c>
      <c r="E37" s="96">
        <v>216.9</v>
      </c>
      <c r="F37" s="97">
        <f>TRUNC('NÃO DESONERADA 18X10F'!F188,2)</f>
        <v>11.23</v>
      </c>
      <c r="G37" s="98">
        <f>TRUNC(F37*1.2338,2)</f>
        <v>13.85</v>
      </c>
      <c r="H37" s="99">
        <f>TRUNC(E37*F37,2)</f>
        <v>2435.78</v>
      </c>
      <c r="I37" s="99">
        <f>TRUNC(E37*G37,2)</f>
        <v>3004.06</v>
      </c>
      <c r="L37" s="96">
        <v>9.9</v>
      </c>
    </row>
    <row r="38" spans="1:9" s="96" customFormat="1" ht="57">
      <c r="A38" s="96" t="s">
        <v>15</v>
      </c>
      <c r="B38" s="96" t="s">
        <v>254</v>
      </c>
      <c r="C38" s="96" t="s">
        <v>185</v>
      </c>
      <c r="D38" s="96" t="s">
        <v>0</v>
      </c>
      <c r="E38" s="96">
        <v>4.78</v>
      </c>
      <c r="F38" s="97">
        <f>TRUNC('NÃO DESONERADA 18X10F'!F194,2)</f>
        <v>53.94</v>
      </c>
      <c r="G38" s="98">
        <f>TRUNC(F38*1.2338,2)</f>
        <v>66.55</v>
      </c>
      <c r="H38" s="99">
        <f>TRUNC(E38*F38,2)</f>
        <v>257.83</v>
      </c>
      <c r="I38" s="99">
        <f>TRUNC(E38*G38,2)</f>
        <v>318.1</v>
      </c>
    </row>
    <row r="39" spans="1:9" s="96" customFormat="1" ht="42.75">
      <c r="A39" s="96" t="s">
        <v>449</v>
      </c>
      <c r="B39" s="96" t="s">
        <v>589</v>
      </c>
      <c r="C39" s="96" t="s">
        <v>402</v>
      </c>
      <c r="D39" s="96" t="s">
        <v>12</v>
      </c>
      <c r="E39" s="96">
        <v>2</v>
      </c>
      <c r="F39" s="97">
        <f>TRUNC('NÃO DESONERADA 18X10F'!F203,2)</f>
        <v>31.18</v>
      </c>
      <c r="G39" s="98">
        <f>TRUNC(F39*1.2338,2)</f>
        <v>38.46</v>
      </c>
      <c r="H39" s="99">
        <f>TRUNC(E39*F39,2)</f>
        <v>62.36</v>
      </c>
      <c r="I39" s="99">
        <f>TRUNC(E39*G39,2)</f>
        <v>76.92</v>
      </c>
    </row>
    <row r="40" spans="1:11" s="96" customFormat="1" ht="71.25">
      <c r="A40" s="96" t="s">
        <v>450</v>
      </c>
      <c r="B40" s="96" t="s">
        <v>590</v>
      </c>
      <c r="C40" s="96" t="s">
        <v>441</v>
      </c>
      <c r="D40" s="96" t="s">
        <v>0</v>
      </c>
      <c r="E40" s="96">
        <v>3.6</v>
      </c>
      <c r="F40" s="97">
        <f>TRUNC('NÃO DESONERADA 18X10F'!F208,2)</f>
        <v>13.68</v>
      </c>
      <c r="G40" s="98">
        <f>TRUNC(F40*1.2338,2)</f>
        <v>16.87</v>
      </c>
      <c r="H40" s="99">
        <f>TRUNC(E40*F40,2)</f>
        <v>49.24</v>
      </c>
      <c r="I40" s="99">
        <f>TRUNC(E40*G40,2)</f>
        <v>60.73</v>
      </c>
      <c r="K40" s="96">
        <f>15.74*22.2</f>
        <v>349.428</v>
      </c>
    </row>
    <row r="41" spans="1:9" s="39" customFormat="1" ht="15.75">
      <c r="A41" s="48" t="s">
        <v>52</v>
      </c>
      <c r="B41" s="50"/>
      <c r="C41" s="49"/>
      <c r="D41" s="50"/>
      <c r="E41" s="50"/>
      <c r="F41" s="50" t="s">
        <v>57</v>
      </c>
      <c r="G41" s="50"/>
      <c r="H41" s="51">
        <f>H38+H37+H36</f>
        <v>4714.92</v>
      </c>
      <c r="I41" s="52">
        <f>I38+I37+I36+I40+I39</f>
        <v>5953.529999999999</v>
      </c>
    </row>
    <row r="42" spans="1:9" s="38" customFormat="1" ht="15.75">
      <c r="A42" s="38" t="s">
        <v>23</v>
      </c>
      <c r="B42" s="46"/>
      <c r="C42" s="47" t="s">
        <v>371</v>
      </c>
      <c r="D42" s="47"/>
      <c r="E42" s="47"/>
      <c r="F42" s="47"/>
      <c r="G42" s="47"/>
      <c r="H42" s="47"/>
      <c r="I42" s="45"/>
    </row>
    <row r="43" spans="1:9" s="96" customFormat="1" ht="28.5">
      <c r="A43" s="96" t="s">
        <v>193</v>
      </c>
      <c r="B43" s="96" t="s">
        <v>593</v>
      </c>
      <c r="C43" s="96" t="s">
        <v>280</v>
      </c>
      <c r="D43" s="96" t="s">
        <v>12</v>
      </c>
      <c r="E43" s="96">
        <v>2</v>
      </c>
      <c r="F43" s="97">
        <f>TRUNC('NÃO DESONERADA 18X10F'!F217,2)</f>
        <v>598.72</v>
      </c>
      <c r="G43" s="98">
        <f aca="true" t="shared" si="6" ref="G43:G58">TRUNC(F43*1.2338,2)</f>
        <v>738.7</v>
      </c>
      <c r="H43" s="99">
        <f aca="true" t="shared" si="7" ref="H43:H58">TRUNC(F43*E43,2)</f>
        <v>1197.44</v>
      </c>
      <c r="I43" s="99">
        <f aca="true" t="shared" si="8" ref="I43:I58">TRUNC(E43*G43,2)</f>
        <v>1477.4</v>
      </c>
    </row>
    <row r="44" spans="1:9" s="96" customFormat="1" ht="57">
      <c r="A44" s="96" t="s">
        <v>194</v>
      </c>
      <c r="B44" s="96" t="s">
        <v>594</v>
      </c>
      <c r="C44" s="96" t="s">
        <v>284</v>
      </c>
      <c r="D44" s="96" t="s">
        <v>12</v>
      </c>
      <c r="E44" s="96">
        <v>2</v>
      </c>
      <c r="F44" s="97">
        <f>TRUNC('NÃO DESONERADA 18X10F'!F220,2)</f>
        <v>127.1</v>
      </c>
      <c r="G44" s="98">
        <f t="shared" si="6"/>
        <v>156.81</v>
      </c>
      <c r="H44" s="99">
        <f t="shared" si="7"/>
        <v>254.2</v>
      </c>
      <c r="I44" s="99">
        <f t="shared" si="8"/>
        <v>313.62</v>
      </c>
    </row>
    <row r="45" spans="1:9" s="96" customFormat="1" ht="28.5">
      <c r="A45" s="96" t="s">
        <v>375</v>
      </c>
      <c r="B45" s="96" t="s">
        <v>595</v>
      </c>
      <c r="C45" s="96" t="s">
        <v>288</v>
      </c>
      <c r="D45" s="96" t="s">
        <v>12</v>
      </c>
      <c r="E45" s="96">
        <v>6</v>
      </c>
      <c r="F45" s="97">
        <f>TRUNC('NÃO DESONERADA 18X10F'!F223,2)</f>
        <v>40.24</v>
      </c>
      <c r="G45" s="98">
        <f t="shared" si="6"/>
        <v>49.64</v>
      </c>
      <c r="H45" s="99">
        <f t="shared" si="7"/>
        <v>241.44</v>
      </c>
      <c r="I45" s="99">
        <f t="shared" si="8"/>
        <v>297.84</v>
      </c>
    </row>
    <row r="46" spans="1:9" s="96" customFormat="1" ht="71.25">
      <c r="A46" s="96" t="s">
        <v>376</v>
      </c>
      <c r="B46" s="96" t="s">
        <v>596</v>
      </c>
      <c r="C46" s="96" t="s">
        <v>292</v>
      </c>
      <c r="D46" s="96" t="s">
        <v>12</v>
      </c>
      <c r="E46" s="96">
        <v>6</v>
      </c>
      <c r="F46" s="97">
        <f>TRUNC('NÃO DESONERADA 18X10F'!F227,2)</f>
        <v>218.34</v>
      </c>
      <c r="G46" s="98">
        <f t="shared" si="6"/>
        <v>269.38</v>
      </c>
      <c r="H46" s="99">
        <f t="shared" si="7"/>
        <v>1310.04</v>
      </c>
      <c r="I46" s="99">
        <f t="shared" si="8"/>
        <v>1616.28</v>
      </c>
    </row>
    <row r="47" spans="1:9" s="96" customFormat="1" ht="42.75">
      <c r="A47" s="96" t="s">
        <v>377</v>
      </c>
      <c r="B47" s="96" t="s">
        <v>597</v>
      </c>
      <c r="C47" s="96" t="s">
        <v>296</v>
      </c>
      <c r="D47" s="96" t="s">
        <v>12</v>
      </c>
      <c r="E47" s="96">
        <v>2</v>
      </c>
      <c r="F47" s="97">
        <f>TRUNC('NÃO DESONERADA 18X10F'!F232,2)</f>
        <v>36.45</v>
      </c>
      <c r="G47" s="98">
        <f t="shared" si="6"/>
        <v>44.97</v>
      </c>
      <c r="H47" s="99">
        <f t="shared" si="7"/>
        <v>72.9</v>
      </c>
      <c r="I47" s="99">
        <f t="shared" si="8"/>
        <v>89.94</v>
      </c>
    </row>
    <row r="48" spans="1:9" s="96" customFormat="1" ht="57">
      <c r="A48" s="96" t="s">
        <v>378</v>
      </c>
      <c r="B48" s="96" t="s">
        <v>598</v>
      </c>
      <c r="C48" s="96" t="s">
        <v>336</v>
      </c>
      <c r="D48" s="96" t="s">
        <v>12</v>
      </c>
      <c r="E48" s="96">
        <v>1</v>
      </c>
      <c r="F48" s="97">
        <f>TRUNC('NÃO DESONERADA 18X10F'!F237,2)</f>
        <v>80.55</v>
      </c>
      <c r="G48" s="98">
        <f t="shared" si="6"/>
        <v>99.38</v>
      </c>
      <c r="H48" s="99">
        <f t="shared" si="7"/>
        <v>80.55</v>
      </c>
      <c r="I48" s="99">
        <f t="shared" si="8"/>
        <v>99.38</v>
      </c>
    </row>
    <row r="49" spans="1:9" s="96" customFormat="1" ht="57">
      <c r="A49" s="96" t="s">
        <v>379</v>
      </c>
      <c r="B49" s="96" t="s">
        <v>599</v>
      </c>
      <c r="C49" s="96" t="s">
        <v>299</v>
      </c>
      <c r="D49" s="96" t="s">
        <v>3</v>
      </c>
      <c r="E49" s="96">
        <v>121.53</v>
      </c>
      <c r="F49" s="97">
        <f>TRUNC('NÃO DESONERADA 18X10F'!F242,2)</f>
        <v>3.62</v>
      </c>
      <c r="G49" s="98">
        <f t="shared" si="6"/>
        <v>4.46</v>
      </c>
      <c r="H49" s="99">
        <f t="shared" si="7"/>
        <v>439.93</v>
      </c>
      <c r="I49" s="99">
        <f t="shared" si="8"/>
        <v>542.02</v>
      </c>
    </row>
    <row r="50" spans="1:9" s="96" customFormat="1" ht="57">
      <c r="A50" s="96" t="s">
        <v>380</v>
      </c>
      <c r="B50" s="96" t="s">
        <v>600</v>
      </c>
      <c r="C50" s="96" t="s">
        <v>304</v>
      </c>
      <c r="D50" s="96" t="s">
        <v>12</v>
      </c>
      <c r="E50" s="96">
        <v>1</v>
      </c>
      <c r="F50" s="97">
        <f>TRUNC('NÃO DESONERADA 18X10F'!F248,2)</f>
        <v>908.9</v>
      </c>
      <c r="G50" s="98">
        <f t="shared" si="6"/>
        <v>1121.4</v>
      </c>
      <c r="H50" s="99">
        <f t="shared" si="7"/>
        <v>908.9</v>
      </c>
      <c r="I50" s="99">
        <f t="shared" si="8"/>
        <v>1121.4</v>
      </c>
    </row>
    <row r="51" spans="1:9" s="96" customFormat="1" ht="28.5">
      <c r="A51" s="96" t="s">
        <v>381</v>
      </c>
      <c r="B51" s="96" t="s">
        <v>601</v>
      </c>
      <c r="C51" s="96" t="s">
        <v>345</v>
      </c>
      <c r="D51" s="96" t="s">
        <v>12</v>
      </c>
      <c r="E51" s="96">
        <v>1</v>
      </c>
      <c r="F51" s="97">
        <f>TRUNC('NÃO DESONERADA 18X10F'!F267,2)</f>
        <v>147.59</v>
      </c>
      <c r="G51" s="98">
        <f t="shared" si="6"/>
        <v>182.09</v>
      </c>
      <c r="H51" s="99">
        <f t="shared" si="7"/>
        <v>147.59</v>
      </c>
      <c r="I51" s="99">
        <f t="shared" si="8"/>
        <v>182.09</v>
      </c>
    </row>
    <row r="52" spans="1:9" s="96" customFormat="1" ht="28.5">
      <c r="A52" s="96" t="s">
        <v>382</v>
      </c>
      <c r="B52" s="96" t="s">
        <v>609</v>
      </c>
      <c r="C52" s="96" t="s">
        <v>351</v>
      </c>
      <c r="D52" s="96" t="s">
        <v>12</v>
      </c>
      <c r="E52" s="96">
        <v>2</v>
      </c>
      <c r="F52" s="97">
        <f>TRUNC('NÃO DESONERADA 18X10F'!F273,2)</f>
        <v>92.67</v>
      </c>
      <c r="G52" s="98">
        <f t="shared" si="6"/>
        <v>114.33</v>
      </c>
      <c r="H52" s="99">
        <f t="shared" si="7"/>
        <v>185.34</v>
      </c>
      <c r="I52" s="99">
        <f t="shared" si="8"/>
        <v>228.66</v>
      </c>
    </row>
    <row r="53" spans="1:9" s="96" customFormat="1" ht="28.5">
      <c r="A53" s="96" t="s">
        <v>383</v>
      </c>
      <c r="B53" s="96" t="s">
        <v>611</v>
      </c>
      <c r="C53" s="96" t="s">
        <v>355</v>
      </c>
      <c r="D53" s="96" t="s">
        <v>3</v>
      </c>
      <c r="E53" s="96">
        <v>38.65</v>
      </c>
      <c r="F53" s="97">
        <f>TRUNC('NÃO DESONERADA 18X10F'!F278,2)</f>
        <v>8.09</v>
      </c>
      <c r="G53" s="98">
        <f t="shared" si="6"/>
        <v>9.98</v>
      </c>
      <c r="H53" s="99">
        <f t="shared" si="7"/>
        <v>312.67</v>
      </c>
      <c r="I53" s="99">
        <f t="shared" si="8"/>
        <v>385.72</v>
      </c>
    </row>
    <row r="54" spans="1:9" s="96" customFormat="1" ht="28.5">
      <c r="A54" s="96" t="s">
        <v>384</v>
      </c>
      <c r="B54" s="96" t="s">
        <v>614</v>
      </c>
      <c r="C54" s="96" t="s">
        <v>360</v>
      </c>
      <c r="D54" s="96" t="s">
        <v>12</v>
      </c>
      <c r="E54" s="96">
        <v>7</v>
      </c>
      <c r="F54" s="97">
        <f>TRUNC('NÃO DESONERADA 18X10F'!F284,2)</f>
        <v>9.84</v>
      </c>
      <c r="G54" s="98">
        <f t="shared" si="6"/>
        <v>12.14</v>
      </c>
      <c r="H54" s="99">
        <f t="shared" si="7"/>
        <v>68.88</v>
      </c>
      <c r="I54" s="99">
        <f t="shared" si="8"/>
        <v>84.98</v>
      </c>
    </row>
    <row r="55" spans="1:9" s="96" customFormat="1" ht="28.5">
      <c r="A55" s="96" t="s">
        <v>385</v>
      </c>
      <c r="B55" s="96" t="s">
        <v>616</v>
      </c>
      <c r="C55" s="96" t="s">
        <v>364</v>
      </c>
      <c r="D55" s="96" t="s">
        <v>12</v>
      </c>
      <c r="E55" s="96">
        <v>1</v>
      </c>
      <c r="F55" s="97">
        <f>TRUNC('NÃO DESONERADA 18X10F'!F289,2)</f>
        <v>25.47</v>
      </c>
      <c r="G55" s="98">
        <f t="shared" si="6"/>
        <v>31.42</v>
      </c>
      <c r="H55" s="99">
        <f t="shared" si="7"/>
        <v>25.47</v>
      </c>
      <c r="I55" s="99">
        <f t="shared" si="8"/>
        <v>31.42</v>
      </c>
    </row>
    <row r="56" spans="1:9" s="96" customFormat="1" ht="42.75">
      <c r="A56" s="96" t="s">
        <v>386</v>
      </c>
      <c r="B56" s="96" t="s">
        <v>602</v>
      </c>
      <c r="C56" s="96" t="s">
        <v>389</v>
      </c>
      <c r="D56" s="96" t="s">
        <v>12</v>
      </c>
      <c r="E56" s="96">
        <v>1</v>
      </c>
      <c r="F56" s="97">
        <f>TRUNC('NÃO DESONERADA 18X10F'!F295,2)</f>
        <v>521.25</v>
      </c>
      <c r="G56" s="98">
        <f t="shared" si="6"/>
        <v>643.11</v>
      </c>
      <c r="H56" s="99">
        <f t="shared" si="7"/>
        <v>521.25</v>
      </c>
      <c r="I56" s="99">
        <f t="shared" si="8"/>
        <v>643.11</v>
      </c>
    </row>
    <row r="57" spans="1:9" s="96" customFormat="1" ht="42.75">
      <c r="A57" s="96" t="s">
        <v>387</v>
      </c>
      <c r="B57" s="96" t="s">
        <v>603</v>
      </c>
      <c r="C57" s="96" t="s">
        <v>452</v>
      </c>
      <c r="D57" s="96" t="s">
        <v>12</v>
      </c>
      <c r="E57" s="96">
        <v>1</v>
      </c>
      <c r="F57" s="97">
        <f>TRUNC('NÃO DESONERADA 18X10F'!F303,2)</f>
        <v>278.45</v>
      </c>
      <c r="G57" s="98">
        <f t="shared" si="6"/>
        <v>343.55</v>
      </c>
      <c r="H57" s="99">
        <f t="shared" si="7"/>
        <v>278.45</v>
      </c>
      <c r="I57" s="99">
        <f t="shared" si="8"/>
        <v>343.55</v>
      </c>
    </row>
    <row r="58" spans="1:9" s="96" customFormat="1" ht="42.75">
      <c r="A58" s="96" t="s">
        <v>457</v>
      </c>
      <c r="B58" s="96" t="s">
        <v>604</v>
      </c>
      <c r="C58" s="96" t="s">
        <v>408</v>
      </c>
      <c r="D58" s="96" t="s">
        <v>12</v>
      </c>
      <c r="E58" s="96">
        <v>5</v>
      </c>
      <c r="F58" s="97">
        <f>TRUNC('NÃO DESONERADA 18X10F'!F309,2)</f>
        <v>5.96</v>
      </c>
      <c r="G58" s="98">
        <f t="shared" si="6"/>
        <v>7.35</v>
      </c>
      <c r="H58" s="99">
        <f t="shared" si="7"/>
        <v>29.8</v>
      </c>
      <c r="I58" s="99">
        <f t="shared" si="8"/>
        <v>36.75</v>
      </c>
    </row>
    <row r="59" spans="1:9" s="39" customFormat="1" ht="15.75">
      <c r="A59" s="48" t="s">
        <v>52</v>
      </c>
      <c r="B59" s="50"/>
      <c r="C59" s="49"/>
      <c r="D59" s="50"/>
      <c r="E59" s="50"/>
      <c r="F59" s="50" t="s">
        <v>388</v>
      </c>
      <c r="G59" s="50"/>
      <c r="H59" s="51">
        <f>H55+H54+H53+H52+H51+H50+H49+H48+H47+H46+H45+H44+H43+H56+H57+H58</f>
        <v>6074.85</v>
      </c>
      <c r="I59" s="51">
        <f>I55+I54+I53+I52+I51+I50+I49+I48+I47+I46+I45+I44+I43+I56+I57+I58</f>
        <v>7494.16</v>
      </c>
    </row>
    <row r="60" spans="1:9" s="38" customFormat="1" ht="15.75">
      <c r="A60" s="38" t="s">
        <v>24</v>
      </c>
      <c r="B60" s="46"/>
      <c r="C60" s="47" t="s">
        <v>69</v>
      </c>
      <c r="D60" s="47"/>
      <c r="E60" s="47"/>
      <c r="F60" s="47"/>
      <c r="G60" s="47"/>
      <c r="H60" s="47"/>
      <c r="I60" s="45"/>
    </row>
    <row r="61" spans="1:9" s="96" customFormat="1" ht="28.5">
      <c r="A61" s="96" t="s">
        <v>265</v>
      </c>
      <c r="B61" s="96" t="s">
        <v>263</v>
      </c>
      <c r="C61" s="96" t="s">
        <v>98</v>
      </c>
      <c r="D61" s="96" t="s">
        <v>16</v>
      </c>
      <c r="E61" s="96">
        <v>1</v>
      </c>
      <c r="F61" s="97">
        <f>TRUNC('NÃO DESONERADA 18X10F'!F317,2)</f>
        <v>1963.5</v>
      </c>
      <c r="G61" s="98">
        <f>TRUNC(F61*1.2338,2)</f>
        <v>2422.56</v>
      </c>
      <c r="H61" s="99">
        <f>TRUNC(F61*E61,2)</f>
        <v>1963.5</v>
      </c>
      <c r="I61" s="99">
        <f>TRUNC(E61*G61,2)</f>
        <v>2422.56</v>
      </c>
    </row>
    <row r="62" spans="1:9" s="96" customFormat="1" ht="14.25">
      <c r="A62" s="96" t="s">
        <v>266</v>
      </c>
      <c r="B62" s="96" t="s">
        <v>264</v>
      </c>
      <c r="C62" s="96" t="s">
        <v>101</v>
      </c>
      <c r="D62" s="96" t="s">
        <v>16</v>
      </c>
      <c r="E62" s="96">
        <v>1</v>
      </c>
      <c r="F62" s="97">
        <f>TRUNC('NÃO DESONERADA 18X10F'!F320,2)</f>
        <v>55.95</v>
      </c>
      <c r="G62" s="98">
        <f>TRUNC(F62*1.2338,2)</f>
        <v>69.03</v>
      </c>
      <c r="H62" s="99">
        <f>TRUNC(F62*E62,2)</f>
        <v>55.95</v>
      </c>
      <c r="I62" s="99">
        <f>TRUNC(E62*G62,2)</f>
        <v>69.03</v>
      </c>
    </row>
    <row r="63" spans="1:9" s="39" customFormat="1" ht="15.75">
      <c r="A63" s="48" t="s">
        <v>52</v>
      </c>
      <c r="B63" s="50"/>
      <c r="C63" s="49"/>
      <c r="D63" s="50"/>
      <c r="E63" s="50"/>
      <c r="F63" s="50" t="s">
        <v>388</v>
      </c>
      <c r="G63" s="50"/>
      <c r="H63" s="51">
        <f>H62+H61</f>
        <v>2019.45</v>
      </c>
      <c r="I63" s="52">
        <f>I62+I61</f>
        <v>2491.59</v>
      </c>
    </row>
    <row r="64" spans="1:9" s="38" customFormat="1" ht="15.75">
      <c r="A64" s="38" t="s">
        <v>372</v>
      </c>
      <c r="B64" s="46"/>
      <c r="C64" s="47" t="s">
        <v>70</v>
      </c>
      <c r="D64" s="47"/>
      <c r="E64" s="47"/>
      <c r="F64" s="47"/>
      <c r="G64" s="47"/>
      <c r="H64" s="47"/>
      <c r="I64" s="45"/>
    </row>
    <row r="65" spans="1:9" s="96" customFormat="1" ht="28.5">
      <c r="A65" s="96" t="s">
        <v>373</v>
      </c>
      <c r="B65" s="96" t="s">
        <v>267</v>
      </c>
      <c r="C65" s="96" t="s">
        <v>203</v>
      </c>
      <c r="D65" s="96" t="s">
        <v>47</v>
      </c>
      <c r="E65" s="96">
        <v>0.985</v>
      </c>
      <c r="F65" s="97">
        <f>TRUNC('NÃO DESONERADA 18X10F'!F325,2)</f>
        <v>11.37</v>
      </c>
      <c r="G65" s="98">
        <f aca="true" t="shared" si="9" ref="G65:G70">TRUNC(F65*1.2338,2)</f>
        <v>14.02</v>
      </c>
      <c r="H65" s="99">
        <f aca="true" t="shared" si="10" ref="H65:H70">TRUNC(F65*E65,2)</f>
        <v>11.19</v>
      </c>
      <c r="I65" s="99">
        <f aca="true" t="shared" si="11" ref="I65:I70">TRUNC(E65*G65,2)</f>
        <v>13.8</v>
      </c>
    </row>
    <row r="66" spans="1:9" s="96" customFormat="1" ht="14.25">
      <c r="A66" s="96" t="s">
        <v>374</v>
      </c>
      <c r="B66" s="96" t="s">
        <v>270</v>
      </c>
      <c r="C66" s="96" t="s">
        <v>207</v>
      </c>
      <c r="D66" s="96" t="s">
        <v>63</v>
      </c>
      <c r="E66" s="96">
        <v>5.91</v>
      </c>
      <c r="F66" s="97">
        <f>TRUNC('NÃO DESONERADA 18X10F'!F328,2)</f>
        <v>0.6</v>
      </c>
      <c r="G66" s="98">
        <f t="shared" si="9"/>
        <v>0.74</v>
      </c>
      <c r="H66" s="99">
        <f t="shared" si="10"/>
        <v>3.54</v>
      </c>
      <c r="I66" s="99">
        <f t="shared" si="11"/>
        <v>4.37</v>
      </c>
    </row>
    <row r="67" spans="1:9" s="96" customFormat="1" ht="57">
      <c r="A67" s="96" t="s">
        <v>465</v>
      </c>
      <c r="B67" s="96" t="s">
        <v>629</v>
      </c>
      <c r="C67" s="96" t="s">
        <v>460</v>
      </c>
      <c r="D67" s="96" t="s">
        <v>12</v>
      </c>
      <c r="E67" s="96">
        <v>2</v>
      </c>
      <c r="F67" s="97">
        <f>TRUNC('NÃO DESONERADA 18X10F'!F331,2)</f>
        <v>238.94</v>
      </c>
      <c r="G67" s="98">
        <f t="shared" si="9"/>
        <v>294.8</v>
      </c>
      <c r="H67" s="99">
        <f t="shared" si="10"/>
        <v>477.88</v>
      </c>
      <c r="I67" s="99">
        <f t="shared" si="11"/>
        <v>589.6</v>
      </c>
    </row>
    <row r="68" spans="1:9" s="96" customFormat="1" ht="28.5">
      <c r="A68" s="96" t="s">
        <v>466</v>
      </c>
      <c r="B68" s="96" t="s">
        <v>630</v>
      </c>
      <c r="C68" s="96" t="s">
        <v>464</v>
      </c>
      <c r="D68" s="96" t="s">
        <v>1</v>
      </c>
      <c r="E68" s="96">
        <v>5</v>
      </c>
      <c r="F68" s="97">
        <f>TRUNC('NÃO DESONERADA 18X10F'!F335,2)</f>
        <v>17.13</v>
      </c>
      <c r="G68" s="98">
        <f t="shared" si="9"/>
        <v>21.13</v>
      </c>
      <c r="H68" s="99">
        <f t="shared" si="10"/>
        <v>85.65</v>
      </c>
      <c r="I68" s="99">
        <f t="shared" si="11"/>
        <v>105.65</v>
      </c>
    </row>
    <row r="69" spans="1:9" s="96" customFormat="1" ht="14.25">
      <c r="A69" s="96" t="s">
        <v>651</v>
      </c>
      <c r="B69" s="96" t="s">
        <v>631</v>
      </c>
      <c r="C69" s="96" t="s">
        <v>476</v>
      </c>
      <c r="D69" s="96" t="s">
        <v>1</v>
      </c>
      <c r="E69" s="96">
        <v>4.9</v>
      </c>
      <c r="F69" s="97">
        <f>TRUNC('NÃO DESONERADA 18X10F'!F338,2)</f>
        <v>4.07</v>
      </c>
      <c r="G69" s="98">
        <f t="shared" si="9"/>
        <v>5.02</v>
      </c>
      <c r="H69" s="99">
        <f t="shared" si="10"/>
        <v>19.94</v>
      </c>
      <c r="I69" s="99">
        <f t="shared" si="11"/>
        <v>24.59</v>
      </c>
    </row>
    <row r="70" spans="1:9" s="96" customFormat="1" ht="28.5">
      <c r="A70" s="96" t="s">
        <v>652</v>
      </c>
      <c r="B70" s="96" t="s">
        <v>636</v>
      </c>
      <c r="C70" s="96" t="s">
        <v>482</v>
      </c>
      <c r="D70" s="96" t="s">
        <v>483</v>
      </c>
      <c r="E70" s="96">
        <v>73.5</v>
      </c>
      <c r="F70" s="97">
        <f>TRUNC('NÃO DESONERADA 18X10F'!F343,2)</f>
        <v>1.58</v>
      </c>
      <c r="G70" s="98">
        <f t="shared" si="9"/>
        <v>1.94</v>
      </c>
      <c r="H70" s="99">
        <f t="shared" si="10"/>
        <v>116.13</v>
      </c>
      <c r="I70" s="99">
        <f t="shared" si="11"/>
        <v>142.59</v>
      </c>
    </row>
    <row r="71" spans="1:9" s="39" customFormat="1" ht="15.75">
      <c r="A71" s="48" t="s">
        <v>52</v>
      </c>
      <c r="B71" s="50"/>
      <c r="C71" s="49"/>
      <c r="D71" s="50"/>
      <c r="E71" s="50"/>
      <c r="F71" s="50" t="s">
        <v>62</v>
      </c>
      <c r="G71" s="50"/>
      <c r="H71" s="51">
        <f>H66+H65</f>
        <v>14.73</v>
      </c>
      <c r="I71" s="51">
        <f>I66+I65+I70+I69+I68+I67</f>
        <v>880.6</v>
      </c>
    </row>
    <row r="72" spans="1:9" s="39" customFormat="1" ht="15.75">
      <c r="A72" s="48" t="s">
        <v>52</v>
      </c>
      <c r="B72" s="50"/>
      <c r="C72" s="49"/>
      <c r="D72" s="50"/>
      <c r="E72" s="50"/>
      <c r="F72" s="50" t="s">
        <v>64</v>
      </c>
      <c r="G72" s="50"/>
      <c r="H72" s="52">
        <f>H63+H34+H29+H21+H41+H71+H59</f>
        <v>65314.99</v>
      </c>
      <c r="I72" s="52">
        <f>I63+I34+I29+I21+I41+I71+I59</f>
        <v>82258.22</v>
      </c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Zeros="0" view="pageBreakPreview" zoomScale="40" zoomScaleNormal="70" zoomScaleSheetLayoutView="40" zoomScalePageLayoutView="0" workbookViewId="0" topLeftCell="A1">
      <selection activeCell="E18" sqref="E18"/>
    </sheetView>
  </sheetViews>
  <sheetFormatPr defaultColWidth="8.8515625" defaultRowHeight="15"/>
  <cols>
    <col min="1" max="1" width="12.7109375" style="37" bestFit="1" customWidth="1"/>
    <col min="2" max="2" width="78.28125" style="37" bestFit="1" customWidth="1"/>
    <col min="3" max="3" width="18.00390625" style="37" bestFit="1" customWidth="1"/>
    <col min="4" max="8" width="29.421875" style="37" customWidth="1"/>
    <col min="9" max="9" width="33.140625" style="37" customWidth="1"/>
    <col min="10" max="16384" width="8.8515625" style="22" customWidth="1"/>
  </cols>
  <sheetData>
    <row r="1" spans="1:9" ht="39.75" customHeight="1">
      <c r="A1" s="142" t="s">
        <v>26</v>
      </c>
      <c r="B1" s="143"/>
      <c r="C1" s="143"/>
      <c r="D1" s="143"/>
      <c r="E1" s="143"/>
      <c r="F1" s="143"/>
      <c r="G1" s="143"/>
      <c r="H1" s="143"/>
      <c r="I1" s="21"/>
    </row>
    <row r="2" spans="1:9" ht="39.75" customHeight="1">
      <c r="A2" s="160" t="s">
        <v>27</v>
      </c>
      <c r="B2" s="161"/>
      <c r="C2" s="161"/>
      <c r="D2" s="161"/>
      <c r="E2" s="161"/>
      <c r="F2" s="161"/>
      <c r="G2" s="161"/>
      <c r="H2" s="161"/>
      <c r="I2" s="23"/>
    </row>
    <row r="3" spans="1:9" ht="39.75" customHeight="1">
      <c r="A3" s="160" t="s">
        <v>105</v>
      </c>
      <c r="B3" s="161"/>
      <c r="C3" s="161"/>
      <c r="D3" s="161"/>
      <c r="E3" s="161"/>
      <c r="F3" s="161"/>
      <c r="G3" s="161"/>
      <c r="H3" s="161"/>
      <c r="I3" s="23"/>
    </row>
    <row r="4" spans="1:9" ht="39.75" customHeight="1">
      <c r="A4" s="162" t="s">
        <v>274</v>
      </c>
      <c r="B4" s="163"/>
      <c r="C4" s="163"/>
      <c r="D4" s="163"/>
      <c r="E4" s="163"/>
      <c r="F4" s="163"/>
      <c r="G4" s="163"/>
      <c r="H4" s="163"/>
      <c r="I4" s="23"/>
    </row>
    <row r="5" spans="1:9" ht="39.75" customHeight="1">
      <c r="A5" s="164" t="s">
        <v>696</v>
      </c>
      <c r="B5" s="165"/>
      <c r="C5" s="165"/>
      <c r="D5" s="165"/>
      <c r="E5" s="165"/>
      <c r="F5" s="165"/>
      <c r="G5" s="165"/>
      <c r="H5" s="165"/>
      <c r="I5" s="23"/>
    </row>
    <row r="6" spans="1:9" ht="39.75" customHeight="1">
      <c r="A6" s="166"/>
      <c r="B6" s="167"/>
      <c r="C6" s="167"/>
      <c r="D6" s="167"/>
      <c r="E6" s="167"/>
      <c r="F6" s="167"/>
      <c r="G6" s="167"/>
      <c r="H6" s="167"/>
      <c r="I6" s="23"/>
    </row>
    <row r="7" spans="1:9" ht="39.75" customHeight="1">
      <c r="A7" s="168" t="s">
        <v>655</v>
      </c>
      <c r="B7" s="169"/>
      <c r="C7" s="169"/>
      <c r="D7" s="169"/>
      <c r="E7" s="169"/>
      <c r="F7" s="169"/>
      <c r="G7" s="169"/>
      <c r="H7" s="169"/>
      <c r="I7" s="23"/>
    </row>
    <row r="8" spans="1:9" ht="39.75" customHeight="1">
      <c r="A8" s="170"/>
      <c r="B8" s="171"/>
      <c r="C8" s="171"/>
      <c r="D8" s="171"/>
      <c r="E8" s="171"/>
      <c r="F8" s="171"/>
      <c r="G8" s="171"/>
      <c r="H8" s="171"/>
      <c r="I8" s="24"/>
    </row>
    <row r="9" spans="1:9" ht="39.75" customHeight="1">
      <c r="A9" s="172" t="s">
        <v>33</v>
      </c>
      <c r="B9" s="173"/>
      <c r="C9" s="173"/>
      <c r="D9" s="173"/>
      <c r="E9" s="173"/>
      <c r="F9" s="173"/>
      <c r="G9" s="173"/>
      <c r="H9" s="173"/>
      <c r="I9" s="174"/>
    </row>
    <row r="10" spans="1:10" ht="39.75" customHeight="1">
      <c r="A10" s="144" t="s">
        <v>29</v>
      </c>
      <c r="B10" s="144" t="s">
        <v>34</v>
      </c>
      <c r="C10" s="147" t="s">
        <v>35</v>
      </c>
      <c r="D10" s="175"/>
      <c r="E10" s="175"/>
      <c r="F10" s="175"/>
      <c r="G10" s="175"/>
      <c r="H10" s="175"/>
      <c r="I10" s="25"/>
      <c r="J10" s="26"/>
    </row>
    <row r="11" spans="1:10" ht="39.75" customHeight="1">
      <c r="A11" s="145"/>
      <c r="B11" s="145"/>
      <c r="C11" s="147" t="s">
        <v>36</v>
      </c>
      <c r="D11" s="148"/>
      <c r="E11" s="147" t="s">
        <v>37</v>
      </c>
      <c r="F11" s="148"/>
      <c r="G11" s="147" t="s">
        <v>654</v>
      </c>
      <c r="H11" s="148"/>
      <c r="I11" s="25" t="s">
        <v>38</v>
      </c>
      <c r="J11" s="26"/>
    </row>
    <row r="12" spans="1:9" ht="39.75" customHeight="1">
      <c r="A12" s="146"/>
      <c r="B12" s="146"/>
      <c r="C12" s="27" t="s">
        <v>39</v>
      </c>
      <c r="D12" s="28" t="s">
        <v>40</v>
      </c>
      <c r="E12" s="27" t="s">
        <v>39</v>
      </c>
      <c r="F12" s="28" t="s">
        <v>40</v>
      </c>
      <c r="G12" s="27" t="s">
        <v>39</v>
      </c>
      <c r="H12" s="28" t="s">
        <v>40</v>
      </c>
      <c r="I12" s="25" t="s">
        <v>41</v>
      </c>
    </row>
    <row r="13" spans="1:9" ht="39.75" customHeight="1">
      <c r="A13" s="155"/>
      <c r="B13" s="155"/>
      <c r="C13" s="29"/>
      <c r="D13" s="29"/>
      <c r="E13" s="29"/>
      <c r="F13" s="29"/>
      <c r="G13" s="29"/>
      <c r="H13" s="29"/>
      <c r="I13" s="30"/>
    </row>
    <row r="14" spans="1:9" ht="39.75" customHeight="1">
      <c r="A14" s="31" t="s">
        <v>18</v>
      </c>
      <c r="B14" s="32" t="s">
        <v>19</v>
      </c>
      <c r="C14" s="33">
        <v>1</v>
      </c>
      <c r="D14" s="66">
        <f aca="true" t="shared" si="0" ref="D14:D20">C14*I14</f>
        <v>16057.16</v>
      </c>
      <c r="E14" s="33"/>
      <c r="F14" s="66">
        <f aca="true" t="shared" si="1" ref="F14:F20">E14*I14</f>
        <v>0</v>
      </c>
      <c r="G14" s="33"/>
      <c r="H14" s="66">
        <f aca="true" t="shared" si="2" ref="H14:H20">G14*I14</f>
        <v>0</v>
      </c>
      <c r="I14" s="72">
        <v>16057.16</v>
      </c>
    </row>
    <row r="15" spans="1:9" ht="26.25" customHeight="1">
      <c r="A15" s="31" t="s">
        <v>20</v>
      </c>
      <c r="B15" s="34" t="s">
        <v>50</v>
      </c>
      <c r="C15" s="33">
        <v>1</v>
      </c>
      <c r="D15" s="66">
        <f t="shared" si="0"/>
        <v>23353.899999999998</v>
      </c>
      <c r="E15" s="33">
        <v>0</v>
      </c>
      <c r="F15" s="66">
        <f t="shared" si="1"/>
        <v>0</v>
      </c>
      <c r="G15" s="33"/>
      <c r="H15" s="66">
        <f t="shared" si="2"/>
        <v>0</v>
      </c>
      <c r="I15" s="72">
        <v>23353.899999999998</v>
      </c>
    </row>
    <row r="16" spans="1:9" ht="39.75" customHeight="1">
      <c r="A16" s="31" t="s">
        <v>21</v>
      </c>
      <c r="B16" s="32" t="s">
        <v>103</v>
      </c>
      <c r="C16" s="33"/>
      <c r="D16" s="66">
        <f t="shared" si="0"/>
        <v>0</v>
      </c>
      <c r="E16" s="33">
        <v>1</v>
      </c>
      <c r="F16" s="66">
        <f t="shared" si="1"/>
        <v>26027.28</v>
      </c>
      <c r="G16" s="33">
        <v>0</v>
      </c>
      <c r="H16" s="66">
        <f t="shared" si="2"/>
        <v>0</v>
      </c>
      <c r="I16" s="72">
        <v>26027.28</v>
      </c>
    </row>
    <row r="17" spans="1:9" ht="39.75" customHeight="1">
      <c r="A17" s="31" t="s">
        <v>22</v>
      </c>
      <c r="B17" s="32" t="s">
        <v>25</v>
      </c>
      <c r="C17" s="33"/>
      <c r="D17" s="66">
        <f t="shared" si="0"/>
        <v>0</v>
      </c>
      <c r="E17" s="33">
        <v>0</v>
      </c>
      <c r="F17" s="66">
        <f t="shared" si="1"/>
        <v>0</v>
      </c>
      <c r="G17" s="33">
        <v>1</v>
      </c>
      <c r="H17" s="66">
        <f t="shared" si="2"/>
        <v>5953.529999999999</v>
      </c>
      <c r="I17" s="72">
        <v>5953.529999999999</v>
      </c>
    </row>
    <row r="18" spans="1:9" ht="39.75" customHeight="1">
      <c r="A18" s="31" t="s">
        <v>23</v>
      </c>
      <c r="B18" s="32" t="s">
        <v>653</v>
      </c>
      <c r="C18" s="33">
        <v>0.2</v>
      </c>
      <c r="D18" s="66">
        <f t="shared" si="0"/>
        <v>1498.832</v>
      </c>
      <c r="E18" s="33">
        <v>0.2</v>
      </c>
      <c r="F18" s="66">
        <f t="shared" si="1"/>
        <v>1498.832</v>
      </c>
      <c r="G18" s="33">
        <v>0.6</v>
      </c>
      <c r="H18" s="66">
        <f t="shared" si="2"/>
        <v>4496.496</v>
      </c>
      <c r="I18" s="72">
        <v>7494.16</v>
      </c>
    </row>
    <row r="19" spans="1:9" ht="39.75" customHeight="1">
      <c r="A19" s="31" t="s">
        <v>24</v>
      </c>
      <c r="B19" s="32" t="s">
        <v>104</v>
      </c>
      <c r="C19" s="33"/>
      <c r="D19" s="66">
        <f t="shared" si="0"/>
        <v>0</v>
      </c>
      <c r="E19" s="33"/>
      <c r="F19" s="66">
        <f t="shared" si="1"/>
        <v>0</v>
      </c>
      <c r="G19" s="33">
        <v>1</v>
      </c>
      <c r="H19" s="66">
        <f t="shared" si="2"/>
        <v>2491.59</v>
      </c>
      <c r="I19" s="72">
        <v>2491.59</v>
      </c>
    </row>
    <row r="20" spans="1:9" ht="39.75" customHeight="1">
      <c r="A20" s="31" t="s">
        <v>372</v>
      </c>
      <c r="B20" s="32" t="s">
        <v>42</v>
      </c>
      <c r="C20" s="33">
        <v>0.4</v>
      </c>
      <c r="D20" s="66">
        <f t="shared" si="0"/>
        <v>352.24</v>
      </c>
      <c r="E20" s="33">
        <v>0.5</v>
      </c>
      <c r="F20" s="66">
        <f t="shared" si="1"/>
        <v>440.3</v>
      </c>
      <c r="G20" s="33">
        <v>0.1</v>
      </c>
      <c r="H20" s="66">
        <f t="shared" si="2"/>
        <v>88.06</v>
      </c>
      <c r="I20" s="72">
        <v>880.6</v>
      </c>
    </row>
    <row r="21" spans="1:9" ht="39.75" customHeight="1">
      <c r="A21" s="35"/>
      <c r="B21" s="36"/>
      <c r="C21" s="67"/>
      <c r="D21" s="67"/>
      <c r="E21" s="67"/>
      <c r="F21" s="67"/>
      <c r="G21" s="67"/>
      <c r="H21" s="67"/>
      <c r="I21" s="72">
        <f>SUM(I14:I20)</f>
        <v>82258.22</v>
      </c>
    </row>
    <row r="22" spans="1:9" ht="39.75" customHeight="1">
      <c r="A22" s="156" t="s">
        <v>43</v>
      </c>
      <c r="B22" s="157"/>
      <c r="C22" s="158">
        <f>SUM(D14:D20)</f>
        <v>41262.132</v>
      </c>
      <c r="D22" s="159"/>
      <c r="E22" s="158">
        <f>SUM(F14:F20)</f>
        <v>27966.411999999997</v>
      </c>
      <c r="F22" s="159"/>
      <c r="G22" s="158">
        <f>SUM(H14:H20)</f>
        <v>13029.675999999998</v>
      </c>
      <c r="H22" s="159"/>
      <c r="I22" s="68"/>
    </row>
    <row r="23" spans="1:9" ht="39.75" customHeight="1">
      <c r="A23" s="156" t="s">
        <v>44</v>
      </c>
      <c r="B23" s="157"/>
      <c r="C23" s="153">
        <f>C22</f>
        <v>41262.132</v>
      </c>
      <c r="D23" s="154"/>
      <c r="E23" s="153">
        <f>E22+C23</f>
        <v>69228.544</v>
      </c>
      <c r="F23" s="154"/>
      <c r="G23" s="153">
        <f>G22+E23</f>
        <v>82258.21999999999</v>
      </c>
      <c r="H23" s="154"/>
      <c r="I23" s="69"/>
    </row>
    <row r="24" spans="1:9" ht="39.75" customHeight="1">
      <c r="A24" s="149" t="s">
        <v>45</v>
      </c>
      <c r="B24" s="150"/>
      <c r="C24" s="151">
        <f>C22/I21</f>
        <v>0.501617127139391</v>
      </c>
      <c r="D24" s="152"/>
      <c r="E24" s="151">
        <f>E22/I21</f>
        <v>0.33998318952197115</v>
      </c>
      <c r="F24" s="152"/>
      <c r="G24" s="151">
        <f>G22/I21</f>
        <v>0.15839968333863774</v>
      </c>
      <c r="H24" s="152"/>
      <c r="I24" s="70"/>
    </row>
    <row r="25" spans="1:9" ht="39.75" customHeight="1">
      <c r="A25" s="149" t="s">
        <v>46</v>
      </c>
      <c r="B25" s="150"/>
      <c r="C25" s="151">
        <f>C24</f>
        <v>0.501617127139391</v>
      </c>
      <c r="D25" s="152"/>
      <c r="E25" s="151">
        <f>E24+C25</f>
        <v>0.8416003166613621</v>
      </c>
      <c r="F25" s="152"/>
      <c r="G25" s="151">
        <f>G24+E25</f>
        <v>0.9999999999999999</v>
      </c>
      <c r="H25" s="152"/>
      <c r="I25" s="71"/>
    </row>
  </sheetData>
  <sheetProtection/>
  <mergeCells count="32">
    <mergeCell ref="G24:H24"/>
    <mergeCell ref="G25:H25"/>
    <mergeCell ref="A8:H8"/>
    <mergeCell ref="A9:I9"/>
    <mergeCell ref="C10:H10"/>
    <mergeCell ref="G11:H11"/>
    <mergeCell ref="G22:H22"/>
    <mergeCell ref="G23:H23"/>
    <mergeCell ref="E22:F22"/>
    <mergeCell ref="A23:B23"/>
    <mergeCell ref="A2:H2"/>
    <mergeCell ref="A3:H3"/>
    <mergeCell ref="A4:H4"/>
    <mergeCell ref="A5:H5"/>
    <mergeCell ref="A6:H6"/>
    <mergeCell ref="A7:H7"/>
    <mergeCell ref="E24:F24"/>
    <mergeCell ref="C23:D23"/>
    <mergeCell ref="E23:F23"/>
    <mergeCell ref="A13:B13"/>
    <mergeCell ref="A22:B22"/>
    <mergeCell ref="C22:D22"/>
    <mergeCell ref="A1:H1"/>
    <mergeCell ref="A10:A12"/>
    <mergeCell ref="B10:B12"/>
    <mergeCell ref="C11:D11"/>
    <mergeCell ref="E11:F11"/>
    <mergeCell ref="A25:B25"/>
    <mergeCell ref="C25:D25"/>
    <mergeCell ref="E25:F25"/>
    <mergeCell ref="A24:B24"/>
    <mergeCell ref="C24:D24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portrait" paperSize="9" scale="33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Patrick Araujo Suckow de Barros</cp:lastModifiedBy>
  <cp:lastPrinted>2019-11-08T12:19:54Z</cp:lastPrinted>
  <dcterms:created xsi:type="dcterms:W3CDTF">2017-11-22T13:14:51Z</dcterms:created>
  <dcterms:modified xsi:type="dcterms:W3CDTF">2019-11-11T18:54:55Z</dcterms:modified>
  <cp:category/>
  <cp:version/>
  <cp:contentType/>
  <cp:contentStatus/>
</cp:coreProperties>
</file>